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13_ncr:1_{83E2BA07-9E32-43D4-873B-25D370B9296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FTS Lee" sheetId="7" r:id="rId1"/>
    <sheet name="FTS Saxena" sheetId="9" r:id="rId2"/>
    <sheet name="Tembaga" sheetId="1" r:id="rId3"/>
    <sheet name="Emas" sheetId="3" r:id="rId4"/>
    <sheet name="Perak" sheetId="6" r:id="rId5"/>
    <sheet name="Sheet1" sheetId="2" r:id="rId6"/>
    <sheet name="Sheet3" sheetId="4" r:id="rId7"/>
    <sheet name="Sheet4" sheetId="5" r:id="rId8"/>
    <sheet name="Sheet5" sheetId="8" r:id="rId9"/>
    <sheet name="Sheet2" sheetId="10" r:id="rId10"/>
  </sheets>
  <definedNames>
    <definedName name="_xlnm._FilterDatabase" localSheetId="3" hidden="1">Emas!$A$1:$G$61</definedName>
    <definedName name="_xlnm._FilterDatabase" localSheetId="0" hidden="1">'FTS Lee'!$A$1:$G$76</definedName>
    <definedName name="_xlnm._FilterDatabase" localSheetId="1" hidden="1">'FTS Saxena'!$J$2:$K$30</definedName>
    <definedName name="_xlnm._FilterDatabase" localSheetId="4" hidden="1">Perak!$A$1:$F$61</definedName>
    <definedName name="_xlnm._FilterDatabase" localSheetId="6" hidden="1">Sheet3!$A$1:$G$62</definedName>
    <definedName name="_xlnm._FilterDatabase" localSheetId="7" hidden="1">Sheet4!$A$1:$E$61</definedName>
    <definedName name="_xlnm._FilterDatabase" localSheetId="2" hidden="1">Tembaga!$A$1:$H$62</definedName>
  </definedNames>
  <calcPr calcId="191029"/>
</workbook>
</file>

<file path=xl/calcChain.xml><?xml version="1.0" encoding="utf-8"?>
<calcChain xmlns="http://schemas.openxmlformats.org/spreadsheetml/2006/main">
  <c r="Q6" i="9" l="1"/>
  <c r="Z4" i="9"/>
  <c r="S44" i="9"/>
  <c r="S45" i="9"/>
  <c r="S18" i="9"/>
  <c r="S19" i="9"/>
  <c r="S20" i="9"/>
  <c r="S39" i="9"/>
  <c r="S40" i="9"/>
  <c r="S41" i="9"/>
  <c r="S42" i="9"/>
  <c r="S21" i="9"/>
  <c r="S22" i="9"/>
  <c r="S23" i="9"/>
  <c r="S24" i="9"/>
  <c r="S25" i="9"/>
  <c r="S33" i="9"/>
  <c r="S34" i="9"/>
  <c r="S35" i="9"/>
  <c r="S36" i="9"/>
  <c r="S37" i="9"/>
  <c r="S38" i="9"/>
  <c r="S26" i="9"/>
  <c r="S27" i="9"/>
  <c r="S28" i="9"/>
  <c r="S29" i="9"/>
  <c r="S30" i="9"/>
  <c r="S31" i="9"/>
  <c r="S32" i="9"/>
  <c r="S43" i="9"/>
  <c r="Q5" i="9"/>
  <c r="C4" i="9"/>
  <c r="D4" i="9" s="1"/>
  <c r="C5" i="9"/>
  <c r="D5" i="9" s="1"/>
  <c r="C6" i="9"/>
  <c r="D6" i="9" s="1"/>
  <c r="C7" i="9"/>
  <c r="D7" i="9" s="1"/>
  <c r="C8" i="9"/>
  <c r="D8" i="9" s="1"/>
  <c r="C9" i="9"/>
  <c r="D9" i="9" s="1"/>
  <c r="C10" i="9"/>
  <c r="D10" i="9" s="1"/>
  <c r="C11" i="9"/>
  <c r="D11" i="9" s="1"/>
  <c r="C12" i="9"/>
  <c r="D12" i="9" s="1"/>
  <c r="C13" i="9"/>
  <c r="D13" i="9" s="1"/>
  <c r="C14" i="9"/>
  <c r="D14" i="9" s="1"/>
  <c r="C15" i="9"/>
  <c r="D15" i="9" s="1"/>
  <c r="C16" i="9"/>
  <c r="D16" i="9" s="1"/>
  <c r="C17" i="9"/>
  <c r="D17" i="9" s="1"/>
  <c r="C18" i="9"/>
  <c r="D18" i="9" s="1"/>
  <c r="C19" i="9"/>
  <c r="D19" i="9" s="1"/>
  <c r="C20" i="9"/>
  <c r="D20" i="9" s="1"/>
  <c r="C21" i="9"/>
  <c r="D21" i="9" s="1"/>
  <c r="C22" i="9"/>
  <c r="D22" i="9" s="1"/>
  <c r="C23" i="9"/>
  <c r="D23" i="9" s="1"/>
  <c r="C24" i="9"/>
  <c r="D24" i="9" s="1"/>
  <c r="C25" i="9"/>
  <c r="D25" i="9" s="1"/>
  <c r="C26" i="9"/>
  <c r="D26" i="9" s="1"/>
  <c r="C27" i="9"/>
  <c r="D27" i="9" s="1"/>
  <c r="C28" i="9"/>
  <c r="D28" i="9" s="1"/>
  <c r="C29" i="9"/>
  <c r="D29" i="9" s="1"/>
  <c r="C30" i="9"/>
  <c r="D30" i="9" s="1"/>
  <c r="C31" i="9"/>
  <c r="D31" i="9" s="1"/>
  <c r="C32" i="9"/>
  <c r="D32" i="9" s="1"/>
  <c r="C33" i="9"/>
  <c r="D33" i="9" s="1"/>
  <c r="C34" i="9"/>
  <c r="D34" i="9" s="1"/>
  <c r="C35" i="9"/>
  <c r="D35" i="9" s="1"/>
  <c r="C36" i="9"/>
  <c r="D36" i="9" s="1"/>
  <c r="C37" i="9"/>
  <c r="D37" i="9" s="1"/>
  <c r="C38" i="9"/>
  <c r="D38" i="9" s="1"/>
  <c r="C39" i="9"/>
  <c r="D39" i="9" s="1"/>
  <c r="C40" i="9"/>
  <c r="D40" i="9" s="1"/>
  <c r="C41" i="9"/>
  <c r="D41" i="9" s="1"/>
  <c r="C42" i="9"/>
  <c r="D42" i="9" s="1"/>
  <c r="C43" i="9"/>
  <c r="D43" i="9" s="1"/>
  <c r="C44" i="9"/>
  <c r="D44" i="9" s="1"/>
  <c r="C45" i="9"/>
  <c r="D45" i="9" s="1"/>
  <c r="C46" i="9"/>
  <c r="D46" i="9" s="1"/>
  <c r="C47" i="9"/>
  <c r="D47" i="9" s="1"/>
  <c r="C48" i="9"/>
  <c r="D48" i="9" s="1"/>
  <c r="C49" i="9"/>
  <c r="D49" i="9" s="1"/>
  <c r="C50" i="9"/>
  <c r="D50" i="9" s="1"/>
  <c r="C51" i="9"/>
  <c r="D51" i="9" s="1"/>
  <c r="C52" i="9"/>
  <c r="D52" i="9" s="1"/>
  <c r="C53" i="9"/>
  <c r="D53" i="9" s="1"/>
  <c r="C54" i="9"/>
  <c r="D54" i="9" s="1"/>
  <c r="C55" i="9"/>
  <c r="D55" i="9" s="1"/>
  <c r="C56" i="9"/>
  <c r="D56" i="9" s="1"/>
  <c r="C57" i="9"/>
  <c r="D57" i="9" s="1"/>
  <c r="C58" i="9"/>
  <c r="D58" i="9" s="1"/>
  <c r="C59" i="9"/>
  <c r="D59" i="9" s="1"/>
  <c r="C60" i="9"/>
  <c r="D60" i="9" s="1"/>
  <c r="C61" i="9"/>
  <c r="D61" i="9" s="1"/>
  <c r="C62" i="9"/>
  <c r="D62" i="9" s="1"/>
  <c r="C63" i="9"/>
  <c r="D63" i="9" s="1"/>
  <c r="C64" i="9"/>
  <c r="D64" i="9" s="1"/>
  <c r="C65" i="9"/>
  <c r="D65" i="9" s="1"/>
  <c r="C66" i="9"/>
  <c r="D66" i="9" s="1"/>
  <c r="C67" i="9"/>
  <c r="D67" i="9" s="1"/>
  <c r="C68" i="9"/>
  <c r="D68" i="9" s="1"/>
  <c r="C69" i="9"/>
  <c r="D69" i="9" s="1"/>
  <c r="C70" i="9"/>
  <c r="D70" i="9" s="1"/>
  <c r="C71" i="9"/>
  <c r="D71" i="9" s="1"/>
  <c r="C72" i="9"/>
  <c r="D72" i="9" s="1"/>
  <c r="C73" i="9"/>
  <c r="D73" i="9" s="1"/>
  <c r="C74" i="9"/>
  <c r="D74" i="9" s="1"/>
  <c r="C3" i="9"/>
  <c r="Q3" i="9" l="1"/>
  <c r="Q4" i="9" s="1"/>
  <c r="Q2" i="9"/>
  <c r="R4" i="9" s="1"/>
  <c r="D3" i="9"/>
  <c r="V19" i="9"/>
  <c r="V18" i="9"/>
  <c r="V45" i="9"/>
  <c r="V44" i="9"/>
  <c r="V43" i="9"/>
  <c r="V42" i="9"/>
  <c r="V41" i="9"/>
  <c r="V40" i="9"/>
  <c r="V39" i="9"/>
  <c r="E55" i="9" s="1"/>
  <c r="F55" i="9" s="1"/>
  <c r="G55" i="9" s="1"/>
  <c r="V38" i="9"/>
  <c r="V37" i="9"/>
  <c r="E22" i="9" s="1"/>
  <c r="F22" i="9" s="1"/>
  <c r="G22" i="9" s="1"/>
  <c r="V36" i="9"/>
  <c r="V35" i="9"/>
  <c r="V34" i="9"/>
  <c r="V33" i="9"/>
  <c r="V32" i="9"/>
  <c r="E53" i="9" s="1"/>
  <c r="F53" i="9" s="1"/>
  <c r="G53" i="9" s="1"/>
  <c r="V31" i="9"/>
  <c r="V30" i="9"/>
  <c r="V29" i="9"/>
  <c r="V28" i="9"/>
  <c r="V27" i="9"/>
  <c r="V26" i="9"/>
  <c r="V25" i="9"/>
  <c r="E57" i="9" s="1"/>
  <c r="F57" i="9" s="1"/>
  <c r="G57" i="9" s="1"/>
  <c r="V24" i="9"/>
  <c r="V23" i="9"/>
  <c r="V22" i="9"/>
  <c r="V21" i="9"/>
  <c r="V20" i="9"/>
  <c r="E65" i="9" l="1"/>
  <c r="F65" i="9" s="1"/>
  <c r="G65" i="9" s="1"/>
  <c r="E26" i="9"/>
  <c r="F26" i="9" s="1"/>
  <c r="G26" i="9" s="1"/>
  <c r="E63" i="9"/>
  <c r="F63" i="9" s="1"/>
  <c r="G63" i="9" s="1"/>
  <c r="E51" i="9"/>
  <c r="F51" i="9" s="1"/>
  <c r="G51" i="9" s="1"/>
  <c r="E49" i="9"/>
  <c r="F49" i="9" s="1"/>
  <c r="G49" i="9" s="1"/>
  <c r="E46" i="9"/>
  <c r="F46" i="9" s="1"/>
  <c r="G46" i="9" s="1"/>
  <c r="E45" i="9"/>
  <c r="F45" i="9" s="1"/>
  <c r="G45" i="9" s="1"/>
  <c r="E43" i="9"/>
  <c r="F43" i="9" s="1"/>
  <c r="G43" i="9" s="1"/>
  <c r="E40" i="9"/>
  <c r="F40" i="9" s="1"/>
  <c r="G40" i="9" s="1"/>
  <c r="E39" i="9"/>
  <c r="F39" i="9" s="1"/>
  <c r="G39" i="9" s="1"/>
  <c r="E38" i="9"/>
  <c r="F38" i="9" s="1"/>
  <c r="G38" i="9" s="1"/>
  <c r="E37" i="9"/>
  <c r="F37" i="9" s="1"/>
  <c r="G37" i="9" s="1"/>
  <c r="E32" i="9"/>
  <c r="F32" i="9" s="1"/>
  <c r="G32" i="9" s="1"/>
  <c r="E7" i="9"/>
  <c r="F7" i="9" s="1"/>
  <c r="G7" i="9" s="1"/>
  <c r="E61" i="9"/>
  <c r="F61" i="9" s="1"/>
  <c r="G61" i="9" s="1"/>
  <c r="E35" i="9"/>
  <c r="F35" i="9" s="1"/>
  <c r="G35" i="9" s="1"/>
  <c r="E34" i="9"/>
  <c r="F34" i="9" s="1"/>
  <c r="G34" i="9" s="1"/>
  <c r="E31" i="9"/>
  <c r="F31" i="9" s="1"/>
  <c r="G31" i="9" s="1"/>
  <c r="E21" i="9"/>
  <c r="F21" i="9" s="1"/>
  <c r="G21" i="9" s="1"/>
  <c r="E17" i="9"/>
  <c r="F17" i="9" s="1"/>
  <c r="G17" i="9" s="1"/>
  <c r="E8" i="9"/>
  <c r="F8" i="9" s="1"/>
  <c r="G8" i="9" s="1"/>
  <c r="E4" i="9"/>
  <c r="F4" i="9" s="1"/>
  <c r="G4" i="9" s="1"/>
  <c r="E3" i="9"/>
  <c r="F3" i="9" s="1"/>
  <c r="G3" i="9" s="1"/>
  <c r="E52" i="9"/>
  <c r="F52" i="9" s="1"/>
  <c r="G52" i="9" s="1"/>
  <c r="E16" i="9"/>
  <c r="F16" i="9" s="1"/>
  <c r="G16" i="9" s="1"/>
  <c r="E62" i="9"/>
  <c r="F62" i="9" s="1"/>
  <c r="G62" i="9" s="1"/>
  <c r="E23" i="9"/>
  <c r="F23" i="9" s="1"/>
  <c r="G23" i="9" s="1"/>
  <c r="E72" i="9"/>
  <c r="F72" i="9" s="1"/>
  <c r="G72" i="9" s="1"/>
  <c r="E68" i="9"/>
  <c r="F68" i="9" s="1"/>
  <c r="G68" i="9" s="1"/>
  <c r="E56" i="9"/>
  <c r="F56" i="9" s="1"/>
  <c r="G56" i="9" s="1"/>
  <c r="E30" i="9"/>
  <c r="F30" i="9" s="1"/>
  <c r="G30" i="9" s="1"/>
  <c r="E28" i="9"/>
  <c r="F28" i="9" s="1"/>
  <c r="G28" i="9" s="1"/>
  <c r="E25" i="9"/>
  <c r="F25" i="9" s="1"/>
  <c r="G25" i="9" s="1"/>
  <c r="E74" i="9"/>
  <c r="F74" i="9" s="1"/>
  <c r="G74" i="9" s="1"/>
  <c r="E54" i="9"/>
  <c r="F54" i="9" s="1"/>
  <c r="G54" i="9" s="1"/>
  <c r="E42" i="9"/>
  <c r="F42" i="9" s="1"/>
  <c r="G42" i="9" s="1"/>
  <c r="E29" i="9"/>
  <c r="F29" i="9" s="1"/>
  <c r="G29" i="9" s="1"/>
  <c r="E19" i="9"/>
  <c r="F19" i="9" s="1"/>
  <c r="G19" i="9" s="1"/>
  <c r="E14" i="9"/>
  <c r="F14" i="9" s="1"/>
  <c r="G14" i="9" s="1"/>
  <c r="E13" i="9"/>
  <c r="F13" i="9" s="1"/>
  <c r="G13" i="9" s="1"/>
  <c r="E9" i="9"/>
  <c r="F9" i="9" s="1"/>
  <c r="G9" i="9" s="1"/>
  <c r="E73" i="9"/>
  <c r="F73" i="9" s="1"/>
  <c r="G73" i="9" s="1"/>
  <c r="E69" i="9"/>
  <c r="F69" i="9" s="1"/>
  <c r="G69" i="9" s="1"/>
  <c r="E66" i="9"/>
  <c r="F66" i="9" s="1"/>
  <c r="G66" i="9" s="1"/>
  <c r="E41" i="9"/>
  <c r="F41" i="9" s="1"/>
  <c r="G41" i="9" s="1"/>
  <c r="E11" i="9"/>
  <c r="F11" i="9" s="1"/>
  <c r="G11" i="9" s="1"/>
  <c r="E10" i="9"/>
  <c r="F10" i="9" s="1"/>
  <c r="G10" i="9" s="1"/>
  <c r="E71" i="9"/>
  <c r="F71" i="9" s="1"/>
  <c r="G71" i="9" s="1"/>
  <c r="E64" i="9"/>
  <c r="F64" i="9" s="1"/>
  <c r="G64" i="9" s="1"/>
  <c r="E58" i="9"/>
  <c r="F58" i="9" s="1"/>
  <c r="G58" i="9" s="1"/>
  <c r="E48" i="9"/>
  <c r="F48" i="9" s="1"/>
  <c r="G48" i="9" s="1"/>
  <c r="E36" i="9"/>
  <c r="F36" i="9" s="1"/>
  <c r="G36" i="9" s="1"/>
  <c r="E20" i="9"/>
  <c r="F20" i="9" s="1"/>
  <c r="G20" i="9" s="1"/>
  <c r="E12" i="9"/>
  <c r="F12" i="9" s="1"/>
  <c r="G12" i="9" s="1"/>
  <c r="E70" i="9"/>
  <c r="F70" i="9" s="1"/>
  <c r="G70" i="9" s="1"/>
  <c r="E67" i="9"/>
  <c r="F67" i="9" s="1"/>
  <c r="G67" i="9" s="1"/>
  <c r="E59" i="9"/>
  <c r="F59" i="9" s="1"/>
  <c r="G59" i="9" s="1"/>
  <c r="E18" i="9"/>
  <c r="F18" i="9" s="1"/>
  <c r="G18" i="9" s="1"/>
  <c r="E6" i="9"/>
  <c r="F6" i="9" s="1"/>
  <c r="G6" i="9" s="1"/>
  <c r="E60" i="9"/>
  <c r="F60" i="9" s="1"/>
  <c r="G60" i="9" s="1"/>
  <c r="E50" i="9"/>
  <c r="F50" i="9" s="1"/>
  <c r="G50" i="9" s="1"/>
  <c r="E47" i="9"/>
  <c r="F47" i="9" s="1"/>
  <c r="G47" i="9" s="1"/>
  <c r="E44" i="9"/>
  <c r="F44" i="9" s="1"/>
  <c r="G44" i="9" s="1"/>
  <c r="E33" i="9"/>
  <c r="F33" i="9" s="1"/>
  <c r="G33" i="9" s="1"/>
  <c r="E27" i="9"/>
  <c r="F27" i="9" s="1"/>
  <c r="G27" i="9" s="1"/>
  <c r="E24" i="9"/>
  <c r="F24" i="9" s="1"/>
  <c r="G24" i="9" s="1"/>
  <c r="E15" i="9"/>
  <c r="F15" i="9" s="1"/>
  <c r="G15" i="9" s="1"/>
  <c r="E5" i="9"/>
  <c r="F5" i="9" s="1"/>
  <c r="G5" i="9" s="1"/>
  <c r="Q8" i="9"/>
  <c r="Y5" i="9" s="1"/>
  <c r="R7" i="9"/>
  <c r="G75" i="9" l="1"/>
  <c r="R8" i="9"/>
  <c r="Q9" i="9" s="1"/>
  <c r="Y12" i="9" s="1"/>
  <c r="S8" i="9"/>
  <c r="U9" i="9"/>
  <c r="U10" i="9"/>
  <c r="U11" i="9"/>
  <c r="U12" i="9"/>
  <c r="U13" i="9"/>
  <c r="U14" i="9"/>
  <c r="U8" i="9"/>
  <c r="Z5" i="9" s="1"/>
  <c r="Y6" i="9" s="1"/>
  <c r="Z6" i="9" s="1"/>
  <c r="Y7" i="9" s="1"/>
  <c r="Z7" i="9" s="1"/>
  <c r="Z12" i="9" l="1"/>
  <c r="Y13" i="9" s="1"/>
  <c r="Z13" i="9" s="1"/>
  <c r="Y14" i="9" s="1"/>
  <c r="Z14" i="9" s="1"/>
  <c r="Y15" i="9" s="1"/>
  <c r="Z15" i="9" s="1"/>
  <c r="Y16" i="9" s="1"/>
  <c r="Z16" i="9" s="1"/>
  <c r="R9" i="9"/>
  <c r="Q10" i="9" s="1"/>
  <c r="Y23" i="9" s="1"/>
  <c r="Z23" i="9" s="1"/>
  <c r="Y24" i="9" s="1"/>
  <c r="Z24" i="9" s="1"/>
  <c r="Y25" i="9" s="1"/>
  <c r="Z25" i="9" s="1"/>
  <c r="Y26" i="9" s="1"/>
  <c r="Z26" i="9" s="1"/>
  <c r="Y27" i="9" s="1"/>
  <c r="Z27" i="9" s="1"/>
  <c r="Y28" i="9" s="1"/>
  <c r="Z28" i="9" s="1"/>
  <c r="Y29" i="9" s="1"/>
  <c r="Z29" i="9" s="1"/>
  <c r="S9" i="9"/>
  <c r="R10" i="9" l="1"/>
  <c r="Q11" i="9" s="1"/>
  <c r="Y17" i="9" s="1"/>
  <c r="Z17" i="9" s="1"/>
  <c r="Y18" i="9" s="1"/>
  <c r="Z18" i="9" s="1"/>
  <c r="Y19" i="9" s="1"/>
  <c r="Z19" i="9" s="1"/>
  <c r="Y20" i="9" s="1"/>
  <c r="Z20" i="9" s="1"/>
  <c r="Y21" i="9" s="1"/>
  <c r="Z21" i="9" s="1"/>
  <c r="Y22" i="9" s="1"/>
  <c r="Z22" i="9" s="1"/>
  <c r="S10" i="9"/>
  <c r="R11" i="9" l="1"/>
  <c r="Q12" i="9" s="1"/>
  <c r="Y8" i="9" s="1"/>
  <c r="Z8" i="9" s="1"/>
  <c r="Y9" i="9" s="1"/>
  <c r="Z9" i="9" s="1"/>
  <c r="Y10" i="9" s="1"/>
  <c r="Z10" i="9" s="1"/>
  <c r="Y11" i="9" s="1"/>
  <c r="Z11" i="9" s="1"/>
  <c r="S11" i="9"/>
  <c r="R12" i="9" l="1"/>
  <c r="Q13" i="9" s="1"/>
  <c r="Y2" i="9" s="1"/>
  <c r="S12" i="9"/>
  <c r="R13" i="9" l="1"/>
  <c r="S13" i="9"/>
  <c r="Q14" i="9" l="1"/>
  <c r="Y3" i="9" s="1"/>
  <c r="Z3" i="9" s="1"/>
  <c r="Y4" i="9" s="1"/>
  <c r="Z2" i="9"/>
  <c r="S14" i="9"/>
  <c r="K4" i="7" l="1"/>
  <c r="M5" i="7"/>
  <c r="K4" i="1"/>
  <c r="G3" i="6"/>
  <c r="K5" i="6"/>
  <c r="K4" i="6" s="1"/>
  <c r="K9" i="3"/>
  <c r="K5" i="3"/>
  <c r="K4" i="3"/>
  <c r="C61" i="6"/>
  <c r="C61" i="3"/>
  <c r="Q29" i="1"/>
  <c r="M5" i="1"/>
  <c r="C61" i="1"/>
  <c r="K3" i="6"/>
  <c r="K7" i="6" s="1"/>
  <c r="K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2" i="6"/>
  <c r="C2" i="3"/>
  <c r="K3" i="3"/>
  <c r="K2" i="3"/>
  <c r="K31" i="3" s="1"/>
  <c r="N8" i="5"/>
  <c r="N7" i="5"/>
  <c r="K4" i="5"/>
  <c r="K3" i="5"/>
  <c r="K2" i="5"/>
  <c r="F4" i="4"/>
  <c r="G4" i="4"/>
  <c r="F5" i="4"/>
  <c r="G5" i="4"/>
  <c r="F6" i="4"/>
  <c r="G6" i="4"/>
  <c r="F7" i="4"/>
  <c r="G7" i="4"/>
  <c r="F8" i="4"/>
  <c r="G8" i="4"/>
  <c r="F9" i="4"/>
  <c r="G9" i="4"/>
  <c r="F10" i="4"/>
  <c r="G10" i="4"/>
  <c r="F11" i="4"/>
  <c r="G11" i="4"/>
  <c r="F12" i="4"/>
  <c r="G12" i="4"/>
  <c r="F13" i="4"/>
  <c r="G13" i="4"/>
  <c r="F14" i="4"/>
  <c r="G14" i="4"/>
  <c r="F15" i="4"/>
  <c r="G15" i="4"/>
  <c r="F16" i="4"/>
  <c r="G16" i="4"/>
  <c r="F17" i="4"/>
  <c r="G17" i="4"/>
  <c r="F18" i="4"/>
  <c r="G18" i="4"/>
  <c r="F19" i="4"/>
  <c r="G19" i="4"/>
  <c r="F20" i="4"/>
  <c r="G20" i="4"/>
  <c r="F21" i="4"/>
  <c r="G21" i="4"/>
  <c r="F22" i="4"/>
  <c r="G22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F30" i="4"/>
  <c r="G30" i="4"/>
  <c r="F31" i="4"/>
  <c r="G31" i="4"/>
  <c r="F32" i="4"/>
  <c r="G32" i="4"/>
  <c r="F33" i="4"/>
  <c r="G33" i="4"/>
  <c r="F34" i="4"/>
  <c r="G34" i="4"/>
  <c r="F35" i="4"/>
  <c r="G35" i="4"/>
  <c r="F36" i="4"/>
  <c r="G36" i="4"/>
  <c r="F37" i="4"/>
  <c r="G37" i="4"/>
  <c r="F38" i="4"/>
  <c r="G38" i="4"/>
  <c r="F39" i="4"/>
  <c r="G39" i="4"/>
  <c r="F40" i="4"/>
  <c r="G40" i="4"/>
  <c r="F41" i="4"/>
  <c r="G41" i="4"/>
  <c r="F42" i="4"/>
  <c r="G42" i="4"/>
  <c r="F43" i="4"/>
  <c r="G43" i="4"/>
  <c r="F44" i="4"/>
  <c r="G44" i="4"/>
  <c r="F45" i="4"/>
  <c r="G45" i="4"/>
  <c r="F46" i="4"/>
  <c r="G46" i="4"/>
  <c r="F47" i="4"/>
  <c r="G47" i="4"/>
  <c r="F48" i="4"/>
  <c r="G48" i="4"/>
  <c r="F49" i="4"/>
  <c r="G49" i="4"/>
  <c r="F50" i="4"/>
  <c r="G50" i="4"/>
  <c r="F51" i="4"/>
  <c r="G51" i="4"/>
  <c r="F52" i="4"/>
  <c r="G52" i="4"/>
  <c r="F53" i="4"/>
  <c r="G53" i="4"/>
  <c r="F54" i="4"/>
  <c r="G54" i="4"/>
  <c r="F55" i="4"/>
  <c r="G55" i="4"/>
  <c r="F56" i="4"/>
  <c r="G56" i="4"/>
  <c r="F57" i="4"/>
  <c r="G57" i="4"/>
  <c r="F58" i="4"/>
  <c r="G58" i="4"/>
  <c r="F59" i="4"/>
  <c r="G59" i="4"/>
  <c r="F60" i="4"/>
  <c r="G60" i="4"/>
  <c r="F61" i="4"/>
  <c r="G61" i="4"/>
  <c r="F62" i="4"/>
  <c r="P11" i="4"/>
  <c r="K4" i="4"/>
  <c r="K3" i="4"/>
  <c r="K2" i="4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2" i="1"/>
  <c r="J45" i="1" s="1"/>
  <c r="K3" i="1"/>
  <c r="L7" i="1" s="1"/>
  <c r="K2" i="1"/>
  <c r="M4" i="1" l="1"/>
  <c r="L4" i="1"/>
  <c r="K5" i="1"/>
  <c r="J46" i="1"/>
  <c r="J47" i="1" s="1"/>
  <c r="L27" i="6"/>
  <c r="L6" i="6"/>
  <c r="L7" i="6"/>
  <c r="K8" i="3"/>
  <c r="J9" i="3"/>
  <c r="L14" i="5"/>
  <c r="K5" i="5"/>
  <c r="L4" i="5"/>
  <c r="K8" i="5"/>
  <c r="L8" i="5" s="1"/>
  <c r="K9" i="5" s="1"/>
  <c r="L9" i="5" s="1"/>
  <c r="K10" i="5" s="1"/>
  <c r="L10" i="5" s="1"/>
  <c r="K11" i="5" s="1"/>
  <c r="L11" i="5" s="1"/>
  <c r="K12" i="5" s="1"/>
  <c r="L12" i="5" s="1"/>
  <c r="K13" i="5" s="1"/>
  <c r="L13" i="5" s="1"/>
  <c r="K14" i="5" s="1"/>
  <c r="L7" i="5"/>
  <c r="L14" i="4"/>
  <c r="K5" i="4"/>
  <c r="L4" i="4"/>
  <c r="K8" i="4"/>
  <c r="L7" i="4"/>
  <c r="L43" i="1"/>
  <c r="L16" i="1"/>
  <c r="K17" i="1"/>
  <c r="L14" i="1"/>
  <c r="K8" i="1"/>
  <c r="L8" i="1" s="1"/>
  <c r="B75" i="7" l="1"/>
  <c r="L17" i="1"/>
  <c r="K8" i="6"/>
  <c r="N6" i="6"/>
  <c r="L8" i="4"/>
  <c r="K2" i="7" l="1"/>
  <c r="B76" i="7"/>
  <c r="K3" i="7" s="1"/>
  <c r="N16" i="1"/>
  <c r="Q18" i="1" s="1"/>
  <c r="G30" i="1" s="1"/>
  <c r="H30" i="1" s="1"/>
  <c r="K18" i="1"/>
  <c r="L18" i="1" s="1"/>
  <c r="L8" i="6"/>
  <c r="J10" i="3"/>
  <c r="M8" i="3"/>
  <c r="K9" i="4"/>
  <c r="O8" i="4"/>
  <c r="K9" i="1"/>
  <c r="O8" i="1"/>
  <c r="K8" i="7" l="1"/>
  <c r="L7" i="7"/>
  <c r="L14" i="7"/>
  <c r="M4" i="7"/>
  <c r="L4" i="7"/>
  <c r="K5" i="7"/>
  <c r="K19" i="1"/>
  <c r="L19" i="1" s="1"/>
  <c r="N17" i="1"/>
  <c r="Q16" i="1" s="1"/>
  <c r="G31" i="1" s="1"/>
  <c r="H31" i="1" s="1"/>
  <c r="K9" i="6"/>
  <c r="N7" i="6"/>
  <c r="K10" i="3"/>
  <c r="L9" i="4"/>
  <c r="L9" i="1"/>
  <c r="K10" i="1" s="1"/>
  <c r="O9" i="1"/>
  <c r="L8" i="7" l="1"/>
  <c r="Q8" i="6"/>
  <c r="Q6" i="6"/>
  <c r="K20" i="1"/>
  <c r="L20" i="1" s="1"/>
  <c r="N18" i="1"/>
  <c r="L9" i="6"/>
  <c r="J11" i="3"/>
  <c r="M9" i="3"/>
  <c r="K10" i="4"/>
  <c r="O9" i="4"/>
  <c r="L10" i="1"/>
  <c r="O10" i="1"/>
  <c r="K9" i="7" l="1"/>
  <c r="O7" i="7"/>
  <c r="G12" i="6"/>
  <c r="H12" i="6" s="1"/>
  <c r="G13" i="6"/>
  <c r="H13" i="6" s="1"/>
  <c r="G14" i="6"/>
  <c r="H14" i="6" s="1"/>
  <c r="G15" i="6"/>
  <c r="H15" i="6" s="1"/>
  <c r="G20" i="6"/>
  <c r="H20" i="6" s="1"/>
  <c r="G21" i="6"/>
  <c r="H21" i="6" s="1"/>
  <c r="G31" i="6"/>
  <c r="H31" i="6" s="1"/>
  <c r="G10" i="6"/>
  <c r="H10" i="6" s="1"/>
  <c r="G17" i="6"/>
  <c r="H17" i="6" s="1"/>
  <c r="K21" i="1"/>
  <c r="L21" i="1" s="1"/>
  <c r="N19" i="1"/>
  <c r="Q17" i="1" s="1"/>
  <c r="G32" i="1" s="1"/>
  <c r="H32" i="1" s="1"/>
  <c r="K10" i="6"/>
  <c r="N8" i="6"/>
  <c r="P8" i="3"/>
  <c r="K11" i="3"/>
  <c r="M10" i="3" s="1"/>
  <c r="P8" i="4"/>
  <c r="L10" i="4"/>
  <c r="K11" i="1"/>
  <c r="L9" i="7" l="1"/>
  <c r="K10" i="7" s="1"/>
  <c r="O8" i="7"/>
  <c r="Q7" i="7" s="1"/>
  <c r="K22" i="1"/>
  <c r="L22" i="1" s="1"/>
  <c r="N20" i="1"/>
  <c r="L10" i="6"/>
  <c r="G11" i="3"/>
  <c r="H11" i="3" s="1"/>
  <c r="G12" i="3"/>
  <c r="H12" i="3" s="1"/>
  <c r="G13" i="3"/>
  <c r="H13" i="3" s="1"/>
  <c r="G14" i="3"/>
  <c r="H14" i="3" s="1"/>
  <c r="J12" i="3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2" i="4"/>
  <c r="K11" i="4"/>
  <c r="O10" i="4"/>
  <c r="L11" i="1"/>
  <c r="K12" i="1" s="1"/>
  <c r="O11" i="1"/>
  <c r="F4" i="7" l="1"/>
  <c r="G4" i="7" s="1"/>
  <c r="F5" i="7"/>
  <c r="G5" i="7" s="1"/>
  <c r="F6" i="7"/>
  <c r="G6" i="7" s="1"/>
  <c r="F7" i="7"/>
  <c r="G7" i="7" s="1"/>
  <c r="F8" i="7"/>
  <c r="G8" i="7" s="1"/>
  <c r="F10" i="7"/>
  <c r="G10" i="7" s="1"/>
  <c r="F11" i="7"/>
  <c r="G11" i="7" s="1"/>
  <c r="F12" i="7"/>
  <c r="G12" i="7" s="1"/>
  <c r="F13" i="7"/>
  <c r="G13" i="7" s="1"/>
  <c r="F14" i="7"/>
  <c r="G14" i="7" s="1"/>
  <c r="F15" i="7"/>
  <c r="G15" i="7" s="1"/>
  <c r="F16" i="7"/>
  <c r="G16" i="7" s="1"/>
  <c r="F17" i="7"/>
  <c r="G17" i="7" s="1"/>
  <c r="F18" i="7"/>
  <c r="G18" i="7" s="1"/>
  <c r="F19" i="7"/>
  <c r="G19" i="7" s="1"/>
  <c r="F20" i="7"/>
  <c r="G20" i="7" s="1"/>
  <c r="F21" i="7"/>
  <c r="G21" i="7" s="1"/>
  <c r="F22" i="7"/>
  <c r="G22" i="7" s="1"/>
  <c r="F27" i="7"/>
  <c r="G27" i="7" s="1"/>
  <c r="F28" i="7"/>
  <c r="G28" i="7" s="1"/>
  <c r="F29" i="7"/>
  <c r="G29" i="7" s="1"/>
  <c r="F30" i="7"/>
  <c r="G30" i="7" s="1"/>
  <c r="F31" i="7"/>
  <c r="G31" i="7" s="1"/>
  <c r="F32" i="7"/>
  <c r="G32" i="7" s="1"/>
  <c r="F33" i="7"/>
  <c r="G33" i="7" s="1"/>
  <c r="F34" i="7"/>
  <c r="G34" i="7" s="1"/>
  <c r="F35" i="7"/>
  <c r="G35" i="7" s="1"/>
  <c r="F3" i="7"/>
  <c r="G3" i="7" s="1"/>
  <c r="L10" i="7"/>
  <c r="O9" i="7"/>
  <c r="Q8" i="7" s="1"/>
  <c r="F75" i="7"/>
  <c r="F9" i="7"/>
  <c r="G9" i="7" s="1"/>
  <c r="F23" i="7"/>
  <c r="G23" i="7" s="1"/>
  <c r="F24" i="7"/>
  <c r="G24" i="7" s="1"/>
  <c r="F25" i="7"/>
  <c r="G25" i="7" s="1"/>
  <c r="F26" i="7"/>
  <c r="G26" i="7" s="1"/>
  <c r="F36" i="7"/>
  <c r="G36" i="7" s="1"/>
  <c r="F37" i="7"/>
  <c r="G37" i="7" s="1"/>
  <c r="F38" i="7"/>
  <c r="G38" i="7" s="1"/>
  <c r="F39" i="7"/>
  <c r="G39" i="7" s="1"/>
  <c r="F40" i="7"/>
  <c r="G40" i="7" s="1"/>
  <c r="F42" i="7"/>
  <c r="G42" i="7" s="1"/>
  <c r="F43" i="7"/>
  <c r="G43" i="7" s="1"/>
  <c r="F44" i="7"/>
  <c r="G44" i="7" s="1"/>
  <c r="F45" i="7"/>
  <c r="G45" i="7" s="1"/>
  <c r="F74" i="7"/>
  <c r="G74" i="7" s="1"/>
  <c r="K23" i="1"/>
  <c r="L23" i="1" s="1"/>
  <c r="N21" i="1"/>
  <c r="K11" i="6"/>
  <c r="N9" i="6"/>
  <c r="P9" i="3"/>
  <c r="K12" i="3"/>
  <c r="P9" i="4"/>
  <c r="L11" i="4"/>
  <c r="L12" i="1"/>
  <c r="O12" i="1"/>
  <c r="C13" i="7" l="1"/>
  <c r="C14" i="7"/>
  <c r="C15" i="7"/>
  <c r="C30" i="7"/>
  <c r="K11" i="7"/>
  <c r="R20" i="1"/>
  <c r="Q20" i="1"/>
  <c r="K24" i="1"/>
  <c r="L24" i="1" s="1"/>
  <c r="N22" i="1"/>
  <c r="Q19" i="1" s="1"/>
  <c r="G25" i="1"/>
  <c r="H25" i="1" s="1"/>
  <c r="G33" i="1"/>
  <c r="H33" i="1" s="1"/>
  <c r="L11" i="6"/>
  <c r="G10" i="3"/>
  <c r="H10" i="3" s="1"/>
  <c r="G15" i="3"/>
  <c r="H15" i="3" s="1"/>
  <c r="J13" i="3"/>
  <c r="M11" i="3"/>
  <c r="K12" i="4"/>
  <c r="O11" i="4"/>
  <c r="K13" i="1"/>
  <c r="L11" i="7" l="1"/>
  <c r="K12" i="7" s="1"/>
  <c r="L12" i="7" s="1"/>
  <c r="O10" i="7"/>
  <c r="Q9" i="7" s="1"/>
  <c r="C19" i="7"/>
  <c r="C20" i="7"/>
  <c r="C31" i="7"/>
  <c r="F41" i="7"/>
  <c r="G41" i="7" s="1"/>
  <c r="F46" i="7"/>
  <c r="G46" i="7" s="1"/>
  <c r="F47" i="7"/>
  <c r="G47" i="7" s="1"/>
  <c r="F48" i="7"/>
  <c r="G48" i="7" s="1"/>
  <c r="F49" i="7"/>
  <c r="G49" i="7" s="1"/>
  <c r="F50" i="7"/>
  <c r="G50" i="7" s="1"/>
  <c r="F51" i="7"/>
  <c r="G51" i="7" s="1"/>
  <c r="F52" i="7"/>
  <c r="G52" i="7" s="1"/>
  <c r="F70" i="7"/>
  <c r="G70" i="7" s="1"/>
  <c r="F71" i="7"/>
  <c r="G71" i="7" s="1"/>
  <c r="F72" i="7"/>
  <c r="G72" i="7" s="1"/>
  <c r="F73" i="7"/>
  <c r="G73" i="7" s="1"/>
  <c r="K13" i="7"/>
  <c r="O11" i="7"/>
  <c r="K25" i="1"/>
  <c r="L25" i="1" s="1"/>
  <c r="N23" i="1"/>
  <c r="G21" i="1"/>
  <c r="H21" i="1" s="1"/>
  <c r="G23" i="1"/>
  <c r="H23" i="1" s="1"/>
  <c r="G24" i="1"/>
  <c r="H24" i="1" s="1"/>
  <c r="G26" i="1"/>
  <c r="H26" i="1" s="1"/>
  <c r="G29" i="1"/>
  <c r="H29" i="1" s="1"/>
  <c r="K12" i="6"/>
  <c r="N10" i="6"/>
  <c r="P12" i="3"/>
  <c r="P10" i="3"/>
  <c r="K13" i="3"/>
  <c r="P10" i="4"/>
  <c r="L12" i="4"/>
  <c r="L13" i="1"/>
  <c r="O13" i="1"/>
  <c r="Q11" i="7" l="1"/>
  <c r="Q12" i="7"/>
  <c r="F56" i="7" s="1"/>
  <c r="G56" i="7" s="1"/>
  <c r="L13" i="7"/>
  <c r="Q22" i="1"/>
  <c r="Q21" i="1"/>
  <c r="K26" i="1"/>
  <c r="L26" i="1" s="1"/>
  <c r="N24" i="1"/>
  <c r="Q23" i="1" s="1"/>
  <c r="G10" i="1"/>
  <c r="H10" i="1" s="1"/>
  <c r="G18" i="1"/>
  <c r="H18" i="1" s="1"/>
  <c r="G19" i="1"/>
  <c r="H19" i="1" s="1"/>
  <c r="G35" i="1"/>
  <c r="H35" i="1" s="1"/>
  <c r="L12" i="6"/>
  <c r="G9" i="3"/>
  <c r="H9" i="3" s="1"/>
  <c r="G16" i="3"/>
  <c r="H16" i="3" s="1"/>
  <c r="G19" i="3"/>
  <c r="H19" i="3" s="1"/>
  <c r="G20" i="3"/>
  <c r="H20" i="3" s="1"/>
  <c r="G3" i="3"/>
  <c r="H3" i="3" s="1"/>
  <c r="G5" i="3"/>
  <c r="H5" i="3" s="1"/>
  <c r="G7" i="3"/>
  <c r="H7" i="3" s="1"/>
  <c r="J14" i="3"/>
  <c r="M12" i="3"/>
  <c r="C60" i="4"/>
  <c r="C38" i="4"/>
  <c r="C39" i="4"/>
  <c r="C40" i="4"/>
  <c r="C57" i="4"/>
  <c r="C58" i="4"/>
  <c r="C59" i="4"/>
  <c r="K13" i="4"/>
  <c r="O12" i="4"/>
  <c r="K14" i="1"/>
  <c r="O14" i="1" s="1"/>
  <c r="C3" i="7" l="1"/>
  <c r="C12" i="7"/>
  <c r="C16" i="7"/>
  <c r="C17" i="7"/>
  <c r="C18" i="7"/>
  <c r="C21" i="7"/>
  <c r="C22" i="7"/>
  <c r="C4" i="7"/>
  <c r="C29" i="7"/>
  <c r="C32" i="7"/>
  <c r="C33" i="7"/>
  <c r="C34" i="7"/>
  <c r="C6" i="7"/>
  <c r="C7" i="7"/>
  <c r="C8" i="7"/>
  <c r="C10" i="7"/>
  <c r="C11" i="7"/>
  <c r="C27" i="7"/>
  <c r="C28" i="7"/>
  <c r="C35" i="7"/>
  <c r="C5" i="7"/>
  <c r="C9" i="7"/>
  <c r="C24" i="7"/>
  <c r="C25" i="7"/>
  <c r="C26" i="7"/>
  <c r="C23" i="7"/>
  <c r="C36" i="7"/>
  <c r="C37" i="7"/>
  <c r="C38" i="7"/>
  <c r="C39" i="7"/>
  <c r="C45" i="7"/>
  <c r="C41" i="7"/>
  <c r="C40" i="7"/>
  <c r="C42" i="7"/>
  <c r="C43" i="7"/>
  <c r="C74" i="7"/>
  <c r="C47" i="7"/>
  <c r="C48" i="7"/>
  <c r="C49" i="7"/>
  <c r="C50" i="7"/>
  <c r="C51" i="7"/>
  <c r="C52" i="7"/>
  <c r="C69" i="7"/>
  <c r="C70" i="7"/>
  <c r="C71" i="7"/>
  <c r="C72" i="7"/>
  <c r="C46" i="7"/>
  <c r="C44" i="7"/>
  <c r="C2" i="7"/>
  <c r="C73" i="7"/>
  <c r="C56" i="7"/>
  <c r="C57" i="7"/>
  <c r="C58" i="7"/>
  <c r="C59" i="7"/>
  <c r="C60" i="7"/>
  <c r="C61" i="7"/>
  <c r="C67" i="7"/>
  <c r="C64" i="7"/>
  <c r="C65" i="7"/>
  <c r="C63" i="7"/>
  <c r="C62" i="7"/>
  <c r="C66" i="7"/>
  <c r="F57" i="7"/>
  <c r="G57" i="7" s="1"/>
  <c r="F63" i="7"/>
  <c r="G63" i="7" s="1"/>
  <c r="F64" i="7"/>
  <c r="G64" i="7" s="1"/>
  <c r="F65" i="7"/>
  <c r="G65" i="7" s="1"/>
  <c r="C54" i="7"/>
  <c r="C55" i="7"/>
  <c r="K14" i="7"/>
  <c r="O13" i="7" s="1"/>
  <c r="Q10" i="7" s="1"/>
  <c r="O12" i="7"/>
  <c r="Q13" i="7" s="1"/>
  <c r="F69" i="7" s="1"/>
  <c r="G69" i="7" s="1"/>
  <c r="K27" i="1"/>
  <c r="L27" i="1" s="1"/>
  <c r="N25" i="1"/>
  <c r="Q24" i="1" s="1"/>
  <c r="G12" i="1"/>
  <c r="H12" i="1" s="1"/>
  <c r="G16" i="1"/>
  <c r="H16" i="1" s="1"/>
  <c r="G17" i="1"/>
  <c r="H17" i="1" s="1"/>
  <c r="G22" i="1"/>
  <c r="H22" i="1" s="1"/>
  <c r="G27" i="1"/>
  <c r="H27" i="1" s="1"/>
  <c r="G11" i="1"/>
  <c r="H11" i="1" s="1"/>
  <c r="G13" i="1"/>
  <c r="H13" i="1" s="1"/>
  <c r="G14" i="1"/>
  <c r="H14" i="1" s="1"/>
  <c r="G15" i="1"/>
  <c r="H15" i="1" s="1"/>
  <c r="G20" i="1"/>
  <c r="H20" i="1" s="1"/>
  <c r="G28" i="1"/>
  <c r="H28" i="1" s="1"/>
  <c r="G34" i="1"/>
  <c r="H34" i="1" s="1"/>
  <c r="G36" i="1"/>
  <c r="H36" i="1" s="1"/>
  <c r="G37" i="1"/>
  <c r="H37" i="1" s="1"/>
  <c r="K13" i="6"/>
  <c r="N11" i="6"/>
  <c r="K14" i="3"/>
  <c r="L13" i="4"/>
  <c r="F54" i="7" l="1"/>
  <c r="G54" i="7" s="1"/>
  <c r="F55" i="7"/>
  <c r="G55" i="7" s="1"/>
  <c r="F53" i="7"/>
  <c r="G53" i="7" s="1"/>
  <c r="F58" i="7"/>
  <c r="G58" i="7" s="1"/>
  <c r="F59" i="7"/>
  <c r="G59" i="7" s="1"/>
  <c r="F60" i="7"/>
  <c r="G60" i="7" s="1"/>
  <c r="F61" i="7"/>
  <c r="G61" i="7" s="1"/>
  <c r="F62" i="7"/>
  <c r="G62" i="7" s="1"/>
  <c r="F66" i="7"/>
  <c r="G66" i="7" s="1"/>
  <c r="F67" i="7"/>
  <c r="G67" i="7" s="1"/>
  <c r="F68" i="7"/>
  <c r="G68" i="7" s="1"/>
  <c r="Q7" i="6"/>
  <c r="Q10" i="6"/>
  <c r="Q9" i="6"/>
  <c r="G9" i="6" s="1"/>
  <c r="K28" i="1"/>
  <c r="L28" i="1" s="1"/>
  <c r="N26" i="1"/>
  <c r="Q26" i="1" s="1"/>
  <c r="G4" i="1"/>
  <c r="H4" i="1" s="1"/>
  <c r="G5" i="1"/>
  <c r="H5" i="1" s="1"/>
  <c r="G6" i="1"/>
  <c r="H6" i="1" s="1"/>
  <c r="G9" i="1"/>
  <c r="H9" i="1" s="1"/>
  <c r="L13" i="6"/>
  <c r="J15" i="3"/>
  <c r="M13" i="3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5" i="4"/>
  <c r="C56" i="4"/>
  <c r="K14" i="4"/>
  <c r="O14" i="4" s="1"/>
  <c r="O13" i="4"/>
  <c r="G75" i="7" l="1"/>
  <c r="G6" i="6"/>
  <c r="H6" i="6" s="1"/>
  <c r="G7" i="6"/>
  <c r="H7" i="6" s="1"/>
  <c r="G8" i="6"/>
  <c r="H8" i="6" s="1"/>
  <c r="H9" i="6"/>
  <c r="G23" i="6"/>
  <c r="H23" i="6" s="1"/>
  <c r="G30" i="6"/>
  <c r="H30" i="6" s="1"/>
  <c r="H3" i="6"/>
  <c r="G4" i="6"/>
  <c r="H4" i="6" s="1"/>
  <c r="G5" i="6"/>
  <c r="H5" i="6" s="1"/>
  <c r="G26" i="6"/>
  <c r="H26" i="6" s="1"/>
  <c r="G27" i="6"/>
  <c r="H27" i="6" s="1"/>
  <c r="G11" i="6"/>
  <c r="H11" i="6" s="1"/>
  <c r="G16" i="6"/>
  <c r="H16" i="6" s="1"/>
  <c r="G18" i="6"/>
  <c r="H18" i="6" s="1"/>
  <c r="G19" i="6"/>
  <c r="H19" i="6" s="1"/>
  <c r="G22" i="6"/>
  <c r="H22" i="6" s="1"/>
  <c r="G32" i="6"/>
  <c r="H32" i="6" s="1"/>
  <c r="K29" i="1"/>
  <c r="L29" i="1" s="1"/>
  <c r="N27" i="1"/>
  <c r="K14" i="6"/>
  <c r="N12" i="6"/>
  <c r="K15" i="3"/>
  <c r="P14" i="4"/>
  <c r="P13" i="4"/>
  <c r="P12" i="4"/>
  <c r="Q11" i="6" l="1"/>
  <c r="N28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2" i="1"/>
  <c r="K30" i="1"/>
  <c r="L30" i="1" s="1"/>
  <c r="L14" i="6"/>
  <c r="J16" i="3"/>
  <c r="M14" i="3"/>
  <c r="P11" i="3" s="1"/>
  <c r="G24" i="6" l="1"/>
  <c r="H24" i="6" s="1"/>
  <c r="G25" i="6"/>
  <c r="H25" i="6" s="1"/>
  <c r="G28" i="6"/>
  <c r="H28" i="6" s="1"/>
  <c r="G29" i="6"/>
  <c r="H29" i="6" s="1"/>
  <c r="G33" i="6"/>
  <c r="H33" i="6" s="1"/>
  <c r="K31" i="1"/>
  <c r="L31" i="1" s="1"/>
  <c r="N29" i="1"/>
  <c r="Q25" i="1" s="1"/>
  <c r="G7" i="1"/>
  <c r="H7" i="1" s="1"/>
  <c r="G8" i="1"/>
  <c r="H8" i="1" s="1"/>
  <c r="G38" i="1"/>
  <c r="H38" i="1" s="1"/>
  <c r="G3" i="1"/>
  <c r="H3" i="1" s="1"/>
  <c r="K15" i="6"/>
  <c r="N13" i="6"/>
  <c r="G4" i="3"/>
  <c r="H4" i="3" s="1"/>
  <c r="G6" i="3"/>
  <c r="H6" i="3" s="1"/>
  <c r="G8" i="3"/>
  <c r="H8" i="3" s="1"/>
  <c r="G17" i="3"/>
  <c r="H17" i="3" s="1"/>
  <c r="G18" i="3"/>
  <c r="H18" i="3" s="1"/>
  <c r="G21" i="3"/>
  <c r="H21" i="3" s="1"/>
  <c r="K16" i="3"/>
  <c r="K32" i="1" l="1"/>
  <c r="L32" i="1" s="1"/>
  <c r="N30" i="1"/>
  <c r="Q30" i="1" s="1"/>
  <c r="G62" i="1" s="1"/>
  <c r="G59" i="1"/>
  <c r="H59" i="1" s="1"/>
  <c r="G60" i="1"/>
  <c r="H60" i="1" s="1"/>
  <c r="L15" i="6"/>
  <c r="J17" i="3"/>
  <c r="M15" i="3"/>
  <c r="P14" i="3" s="1"/>
  <c r="G22" i="3" s="1"/>
  <c r="H22" i="3" s="1"/>
  <c r="K33" i="1" l="1"/>
  <c r="L33" i="1" s="1"/>
  <c r="N31" i="1"/>
  <c r="K16" i="6"/>
  <c r="N14" i="6"/>
  <c r="K17" i="3"/>
  <c r="Q17" i="6" l="1"/>
  <c r="G57" i="6" s="1"/>
  <c r="H57" i="6" s="1"/>
  <c r="Q14" i="6"/>
  <c r="G39" i="1"/>
  <c r="H39" i="1" s="1"/>
  <c r="G61" i="1"/>
  <c r="H61" i="1" s="1"/>
  <c r="K34" i="1"/>
  <c r="L34" i="1" s="1"/>
  <c r="N32" i="1"/>
  <c r="L16" i="6"/>
  <c r="J18" i="3"/>
  <c r="M16" i="3"/>
  <c r="G58" i="6" l="1"/>
  <c r="H58" i="6" s="1"/>
  <c r="G59" i="6"/>
  <c r="H59" i="6" s="1"/>
  <c r="K35" i="1"/>
  <c r="L35" i="1" s="1"/>
  <c r="N33" i="1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59" i="6"/>
  <c r="D2" i="6"/>
  <c r="K17" i="6"/>
  <c r="N15" i="6"/>
  <c r="K18" i="3"/>
  <c r="Q13" i="6" l="1"/>
  <c r="G61" i="6" s="1"/>
  <c r="H61" i="6" s="1"/>
  <c r="K36" i="1"/>
  <c r="L36" i="1" s="1"/>
  <c r="N34" i="1"/>
  <c r="L17" i="6"/>
  <c r="J19" i="3"/>
  <c r="M17" i="3"/>
  <c r="N35" i="1" l="1"/>
  <c r="K37" i="1"/>
  <c r="L37" i="1" s="1"/>
  <c r="D61" i="1"/>
  <c r="D38" i="1"/>
  <c r="D39" i="1"/>
  <c r="D40" i="1"/>
  <c r="D57" i="1"/>
  <c r="D58" i="1"/>
  <c r="D59" i="1"/>
  <c r="D60" i="1"/>
  <c r="K18" i="6"/>
  <c r="N16" i="6"/>
  <c r="P15" i="3"/>
  <c r="G23" i="3" s="1"/>
  <c r="H23" i="3" s="1"/>
  <c r="P17" i="3"/>
  <c r="K19" i="3"/>
  <c r="K38" i="1" l="1"/>
  <c r="L38" i="1" s="1"/>
  <c r="N36" i="1"/>
  <c r="Q31" i="1" s="1"/>
  <c r="G40" i="1"/>
  <c r="H40" i="1" s="1"/>
  <c r="G41" i="1"/>
  <c r="H41" i="1" s="1"/>
  <c r="G58" i="1"/>
  <c r="H58" i="1" s="1"/>
  <c r="L18" i="6"/>
  <c r="G24" i="3"/>
  <c r="H24" i="3" s="1"/>
  <c r="G25" i="3"/>
  <c r="H25" i="3" s="1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" i="3"/>
  <c r="J20" i="3"/>
  <c r="M18" i="3"/>
  <c r="P16" i="3" s="1"/>
  <c r="K39" i="1" l="1"/>
  <c r="L39" i="1" s="1"/>
  <c r="N37" i="1"/>
  <c r="K19" i="6"/>
  <c r="N17" i="6"/>
  <c r="G26" i="3"/>
  <c r="H26" i="3" s="1"/>
  <c r="G27" i="3"/>
  <c r="H27" i="3" s="1"/>
  <c r="K20" i="3"/>
  <c r="K40" i="1" l="1"/>
  <c r="L40" i="1" s="1"/>
  <c r="N38" i="1"/>
  <c r="L19" i="6"/>
  <c r="J21" i="3"/>
  <c r="M19" i="3"/>
  <c r="P18" i="3" s="1"/>
  <c r="G28" i="3" s="1"/>
  <c r="H28" i="3" s="1"/>
  <c r="K41" i="1" l="1"/>
  <c r="L41" i="1" s="1"/>
  <c r="N39" i="1"/>
  <c r="Q42" i="1" s="1"/>
  <c r="G55" i="1" s="1"/>
  <c r="H55" i="1" s="1"/>
  <c r="D41" i="1"/>
  <c r="D42" i="1"/>
  <c r="D45" i="1"/>
  <c r="D46" i="1"/>
  <c r="D47" i="1"/>
  <c r="D48" i="1"/>
  <c r="D50" i="1"/>
  <c r="D51" i="1"/>
  <c r="D55" i="1"/>
  <c r="D56" i="1"/>
  <c r="K20" i="6"/>
  <c r="N18" i="6"/>
  <c r="K21" i="3"/>
  <c r="K42" i="1" l="1"/>
  <c r="L42" i="1" s="1"/>
  <c r="N40" i="1"/>
  <c r="L20" i="6"/>
  <c r="J22" i="3"/>
  <c r="M20" i="3"/>
  <c r="P19" i="3" s="1"/>
  <c r="G29" i="3" s="1"/>
  <c r="H29" i="3" s="1"/>
  <c r="Q38" i="1" l="1"/>
  <c r="Q39" i="1"/>
  <c r="K43" i="1"/>
  <c r="N41" i="1"/>
  <c r="N42" i="1"/>
  <c r="Q41" i="1" s="1"/>
  <c r="D43" i="1"/>
  <c r="D44" i="1"/>
  <c r="D49" i="1"/>
  <c r="D52" i="1"/>
  <c r="D53" i="1"/>
  <c r="K21" i="6"/>
  <c r="N19" i="6"/>
  <c r="K22" i="3"/>
  <c r="G44" i="1" l="1"/>
  <c r="H44" i="1" s="1"/>
  <c r="G54" i="1"/>
  <c r="H54" i="1" s="1"/>
  <c r="Q36" i="1"/>
  <c r="Q40" i="1"/>
  <c r="G51" i="1"/>
  <c r="H51" i="1" s="1"/>
  <c r="G52" i="1"/>
  <c r="H52" i="1" s="1"/>
  <c r="G56" i="1"/>
  <c r="H56" i="1" s="1"/>
  <c r="G46" i="1"/>
  <c r="H46" i="1" s="1"/>
  <c r="G47" i="1"/>
  <c r="H47" i="1" s="1"/>
  <c r="G48" i="1"/>
  <c r="H48" i="1" s="1"/>
  <c r="G49" i="1"/>
  <c r="H49" i="1" s="1"/>
  <c r="G57" i="1"/>
  <c r="H57" i="1" s="1"/>
  <c r="L21" i="6"/>
  <c r="J23" i="3"/>
  <c r="M21" i="3"/>
  <c r="P20" i="3" s="1"/>
  <c r="G30" i="3" s="1"/>
  <c r="H30" i="3" s="1"/>
  <c r="G45" i="1" l="1"/>
  <c r="H45" i="1" s="1"/>
  <c r="G50" i="1"/>
  <c r="H50" i="1" s="1"/>
  <c r="G53" i="1"/>
  <c r="H53" i="1" s="1"/>
  <c r="G42" i="1"/>
  <c r="H42" i="1" s="1"/>
  <c r="G43" i="1"/>
  <c r="H43" i="1" s="1"/>
  <c r="K22" i="6"/>
  <c r="N20" i="6"/>
  <c r="K23" i="3"/>
  <c r="H62" i="1" l="1"/>
  <c r="L22" i="6"/>
  <c r="J24" i="3"/>
  <c r="M22" i="3"/>
  <c r="P22" i="3" s="1"/>
  <c r="G61" i="3" l="1"/>
  <c r="H61" i="3" s="1"/>
  <c r="G62" i="3"/>
  <c r="D61" i="6"/>
  <c r="D57" i="6"/>
  <c r="D58" i="6"/>
  <c r="D60" i="6"/>
  <c r="K23" i="6"/>
  <c r="D56" i="6"/>
  <c r="N21" i="6"/>
  <c r="K24" i="3"/>
  <c r="Q19" i="6" l="1"/>
  <c r="L23" i="6"/>
  <c r="J25" i="3"/>
  <c r="M23" i="3"/>
  <c r="G49" i="6" l="1"/>
  <c r="H49" i="6" s="1"/>
  <c r="G51" i="6"/>
  <c r="H51" i="6" s="1"/>
  <c r="G52" i="6"/>
  <c r="H52" i="6" s="1"/>
  <c r="G56" i="6"/>
  <c r="H56" i="6" s="1"/>
  <c r="K24" i="6"/>
  <c r="N22" i="6"/>
  <c r="P21" i="3"/>
  <c r="G31" i="3" s="1"/>
  <c r="H31" i="3" s="1"/>
  <c r="K25" i="3"/>
  <c r="D61" i="3" s="1"/>
  <c r="Q20" i="6" l="1"/>
  <c r="G53" i="6" s="1"/>
  <c r="H53" i="6" s="1"/>
  <c r="Q12" i="6"/>
  <c r="L24" i="6"/>
  <c r="J26" i="3"/>
  <c r="D28" i="3"/>
  <c r="D29" i="3"/>
  <c r="D30" i="3"/>
  <c r="D31" i="3"/>
  <c r="D32" i="3"/>
  <c r="D41" i="3"/>
  <c r="D42" i="3"/>
  <c r="D59" i="3"/>
  <c r="D60" i="3"/>
  <c r="M24" i="3"/>
  <c r="G34" i="6" l="1"/>
  <c r="H34" i="6" s="1"/>
  <c r="G60" i="6"/>
  <c r="H60" i="6" s="1"/>
  <c r="K25" i="6"/>
  <c r="N23" i="6"/>
  <c r="K26" i="3"/>
  <c r="L25" i="6" l="1"/>
  <c r="J27" i="3"/>
  <c r="M25" i="3"/>
  <c r="D48" i="6" l="1"/>
  <c r="D50" i="6"/>
  <c r="D51" i="6"/>
  <c r="D52" i="6"/>
  <c r="D55" i="6"/>
  <c r="K26" i="6"/>
  <c r="N24" i="6"/>
  <c r="P23" i="3"/>
  <c r="K27" i="3"/>
  <c r="Q26" i="6" l="1"/>
  <c r="Q21" i="6"/>
  <c r="L26" i="6"/>
  <c r="G32" i="3"/>
  <c r="H32" i="3" s="1"/>
  <c r="G33" i="3"/>
  <c r="H33" i="3" s="1"/>
  <c r="G60" i="3"/>
  <c r="H60" i="3" s="1"/>
  <c r="J28" i="3"/>
  <c r="M26" i="3"/>
  <c r="D36" i="6" l="1"/>
  <c r="D37" i="6"/>
  <c r="D38" i="6"/>
  <c r="D47" i="6"/>
  <c r="D49" i="6"/>
  <c r="D34" i="6"/>
  <c r="D39" i="6"/>
  <c r="D42" i="6"/>
  <c r="D45" i="6"/>
  <c r="D46" i="6"/>
  <c r="D53" i="6"/>
  <c r="D54" i="6"/>
  <c r="G37" i="6"/>
  <c r="H37" i="6" s="1"/>
  <c r="G38" i="6"/>
  <c r="H38" i="6" s="1"/>
  <c r="G39" i="6"/>
  <c r="H39" i="6" s="1"/>
  <c r="G48" i="6"/>
  <c r="H48" i="6" s="1"/>
  <c r="G50" i="6"/>
  <c r="H50" i="6" s="1"/>
  <c r="G36" i="6"/>
  <c r="H36" i="6" s="1"/>
  <c r="G45" i="6"/>
  <c r="H45" i="6" s="1"/>
  <c r="K27" i="6"/>
  <c r="N26" i="6" s="1"/>
  <c r="Q22" i="6" s="1"/>
  <c r="D35" i="6"/>
  <c r="D40" i="6"/>
  <c r="D41" i="6"/>
  <c r="D43" i="6"/>
  <c r="N25" i="6"/>
  <c r="P24" i="3"/>
  <c r="K28" i="3"/>
  <c r="Q23" i="6" l="1"/>
  <c r="G43" i="6" s="1"/>
  <c r="H43" i="6" s="1"/>
  <c r="Q24" i="6"/>
  <c r="Q25" i="6"/>
  <c r="G35" i="6"/>
  <c r="H35" i="6" s="1"/>
  <c r="G47" i="6"/>
  <c r="H47" i="6" s="1"/>
  <c r="G54" i="6"/>
  <c r="H54" i="6" s="1"/>
  <c r="G55" i="6"/>
  <c r="H55" i="6" s="1"/>
  <c r="G42" i="3"/>
  <c r="H42" i="3" s="1"/>
  <c r="G43" i="3"/>
  <c r="H43" i="3" s="1"/>
  <c r="J29" i="3"/>
  <c r="D33" i="3"/>
  <c r="D38" i="3"/>
  <c r="D40" i="3"/>
  <c r="D43" i="3"/>
  <c r="D45" i="3"/>
  <c r="D46" i="3"/>
  <c r="D47" i="3"/>
  <c r="D48" i="3"/>
  <c r="D49" i="3"/>
  <c r="D50" i="3"/>
  <c r="D51" i="3"/>
  <c r="D52" i="3"/>
  <c r="D56" i="3"/>
  <c r="D57" i="3"/>
  <c r="D58" i="3"/>
  <c r="M27" i="3"/>
  <c r="G41" i="6" l="1"/>
  <c r="H41" i="6" s="1"/>
  <c r="G42" i="6"/>
  <c r="H42" i="6" s="1"/>
  <c r="G44" i="6"/>
  <c r="H44" i="6" s="1"/>
  <c r="G40" i="6"/>
  <c r="H40" i="6" s="1"/>
  <c r="G46" i="6"/>
  <c r="H46" i="6" s="1"/>
  <c r="P28" i="3"/>
  <c r="K29" i="3"/>
  <c r="H62" i="6" l="1"/>
  <c r="G40" i="3"/>
  <c r="H40" i="3" s="1"/>
  <c r="G45" i="3"/>
  <c r="H45" i="3" s="1"/>
  <c r="G56" i="3"/>
  <c r="H56" i="3" s="1"/>
  <c r="J30" i="3"/>
  <c r="M28" i="3"/>
  <c r="P26" i="3" l="1"/>
  <c r="K30" i="3"/>
  <c r="G44" i="3" l="1"/>
  <c r="H44" i="3" s="1"/>
  <c r="G46" i="3"/>
  <c r="H46" i="3" s="1"/>
  <c r="G48" i="3"/>
  <c r="H48" i="3" s="1"/>
  <c r="G50" i="3"/>
  <c r="H50" i="3" s="1"/>
  <c r="G52" i="3"/>
  <c r="H52" i="3" s="1"/>
  <c r="J31" i="3"/>
  <c r="M30" i="3" s="1"/>
  <c r="P25" i="3" s="1"/>
  <c r="D36" i="3"/>
  <c r="D37" i="3"/>
  <c r="D39" i="3"/>
  <c r="D44" i="3"/>
  <c r="D55" i="3"/>
  <c r="M29" i="3"/>
  <c r="P29" i="3" l="1"/>
  <c r="P30" i="3"/>
  <c r="G34" i="3"/>
  <c r="H34" i="3" s="1"/>
  <c r="G47" i="3"/>
  <c r="H47" i="3" s="1"/>
  <c r="G49" i="3"/>
  <c r="H49" i="3" s="1"/>
  <c r="G51" i="3"/>
  <c r="H51" i="3" s="1"/>
  <c r="G58" i="3"/>
  <c r="H58" i="3" s="1"/>
  <c r="G59" i="3"/>
  <c r="H59" i="3" s="1"/>
  <c r="D35" i="3"/>
  <c r="D53" i="3"/>
  <c r="D54" i="3"/>
  <c r="G35" i="3" l="1"/>
  <c r="H35" i="3" s="1"/>
  <c r="G36" i="3"/>
  <c r="H36" i="3" s="1"/>
  <c r="G54" i="3"/>
  <c r="H54" i="3" s="1"/>
  <c r="G55" i="3"/>
  <c r="H55" i="3" s="1"/>
  <c r="G37" i="3"/>
  <c r="H37" i="3" s="1"/>
  <c r="G38" i="3"/>
  <c r="H38" i="3" s="1"/>
  <c r="P27" i="3"/>
  <c r="G39" i="3" l="1"/>
  <c r="H39" i="3" s="1"/>
  <c r="G41" i="3"/>
  <c r="H41" i="3" s="1"/>
  <c r="G53" i="3"/>
  <c r="H53" i="3" s="1"/>
  <c r="G57" i="3"/>
  <c r="H57" i="3" s="1"/>
  <c r="H62" i="3" l="1"/>
</calcChain>
</file>

<file path=xl/sharedStrings.xml><?xml version="1.0" encoding="utf-8"?>
<sst xmlns="http://schemas.openxmlformats.org/spreadsheetml/2006/main" count="1995" uniqueCount="213">
  <si>
    <t>komoditas</t>
  </si>
  <si>
    <t>tembaga</t>
  </si>
  <si>
    <t>emas</t>
  </si>
  <si>
    <t>perak</t>
  </si>
  <si>
    <t>Januari 2018</t>
  </si>
  <si>
    <t>Februari 2018</t>
  </si>
  <si>
    <t>Maret 2018</t>
  </si>
  <si>
    <t>Apr-18</t>
  </si>
  <si>
    <t>Mei 2018</t>
  </si>
  <si>
    <t>Juni 2018</t>
  </si>
  <si>
    <t>Juli 2018</t>
  </si>
  <si>
    <t>Agustus 2018</t>
  </si>
  <si>
    <t>Sep-18</t>
  </si>
  <si>
    <t>Oktober 2018</t>
  </si>
  <si>
    <t>Nov-18</t>
  </si>
  <si>
    <t>Desember 2018</t>
  </si>
  <si>
    <t>Januari 2019</t>
  </si>
  <si>
    <t>Februari 2019</t>
  </si>
  <si>
    <t>Maret 2019</t>
  </si>
  <si>
    <t>Apr-19</t>
  </si>
  <si>
    <t>Mei 2019</t>
  </si>
  <si>
    <t>Juni 2019</t>
  </si>
  <si>
    <t>Juli 2019</t>
  </si>
  <si>
    <t>Agustus 2019</t>
  </si>
  <si>
    <t>Sep-19</t>
  </si>
  <si>
    <t>Oktober 2019</t>
  </si>
  <si>
    <t>Nov-19</t>
  </si>
  <si>
    <t>Desember 2019</t>
  </si>
  <si>
    <t>Januari 2020</t>
  </si>
  <si>
    <t>Februari 2020</t>
  </si>
  <si>
    <t>Maret 2020</t>
  </si>
  <si>
    <t>Apr-20</t>
  </si>
  <si>
    <t>Mei 2020</t>
  </si>
  <si>
    <t>Juni 2020</t>
  </si>
  <si>
    <t>Juli 2020</t>
  </si>
  <si>
    <t>Agustus 2020</t>
  </si>
  <si>
    <t>Sep-20</t>
  </si>
  <si>
    <t>Oktober 2020</t>
  </si>
  <si>
    <t>Nov-20</t>
  </si>
  <si>
    <t>Desember 2020</t>
  </si>
  <si>
    <t>Januari 2021</t>
  </si>
  <si>
    <t>Februari 2021</t>
  </si>
  <si>
    <t>Maret 2021</t>
  </si>
  <si>
    <t>Apr-21</t>
  </si>
  <si>
    <t>Mei 2021</t>
  </si>
  <si>
    <t>Juni 2021</t>
  </si>
  <si>
    <t>Juli 2021</t>
  </si>
  <si>
    <t>Agustus 2021</t>
  </si>
  <si>
    <t>Sep-21</t>
  </si>
  <si>
    <t>Oktober 2021</t>
  </si>
  <si>
    <t>Nov-21</t>
  </si>
  <si>
    <t>Desember 2021</t>
  </si>
  <si>
    <t>Januari 2022</t>
  </si>
  <si>
    <t>Februari 2022</t>
  </si>
  <si>
    <t>Maret 2022</t>
  </si>
  <si>
    <t>Apr-22</t>
  </si>
  <si>
    <t>Mei 2022</t>
  </si>
  <si>
    <t>Juni 2022</t>
  </si>
  <si>
    <t>Juli 2022</t>
  </si>
  <si>
    <t>Agustus 2022</t>
  </si>
  <si>
    <t>Sep-22</t>
  </si>
  <si>
    <t>Oktober 2022</t>
  </si>
  <si>
    <t>Nov-22</t>
  </si>
  <si>
    <t>max</t>
  </si>
  <si>
    <t>min</t>
  </si>
  <si>
    <t>jumlah kelas</t>
  </si>
  <si>
    <t>panjang interval</t>
  </si>
  <si>
    <t>U1</t>
  </si>
  <si>
    <t>U2</t>
  </si>
  <si>
    <t>U3</t>
  </si>
  <si>
    <t>U4</t>
  </si>
  <si>
    <t>U5</t>
  </si>
  <si>
    <t>U6</t>
  </si>
  <si>
    <t>U7</t>
  </si>
  <si>
    <t>A1</t>
  </si>
  <si>
    <t>A2</t>
  </si>
  <si>
    <t>A3</t>
  </si>
  <si>
    <t>A4</t>
  </si>
  <si>
    <t>A5</t>
  </si>
  <si>
    <t>A6</t>
  </si>
  <si>
    <t>A7</t>
  </si>
  <si>
    <t>FLR</t>
  </si>
  <si>
    <t>Median</t>
  </si>
  <si>
    <t>u1</t>
  </si>
  <si>
    <t>u2</t>
  </si>
  <si>
    <t>u3</t>
  </si>
  <si>
    <t>u4</t>
  </si>
  <si>
    <t>u5</t>
  </si>
  <si>
    <t>u6</t>
  </si>
  <si>
    <t>u7</t>
  </si>
  <si>
    <t>u8</t>
  </si>
  <si>
    <t>u9</t>
  </si>
  <si>
    <t>u10</t>
  </si>
  <si>
    <t>u11</t>
  </si>
  <si>
    <t>u12</t>
  </si>
  <si>
    <t>u13</t>
  </si>
  <si>
    <t>u14</t>
  </si>
  <si>
    <t>u15</t>
  </si>
  <si>
    <t>u16</t>
  </si>
  <si>
    <t>u17</t>
  </si>
  <si>
    <t>u18</t>
  </si>
  <si>
    <t>u19</t>
  </si>
  <si>
    <t>u20</t>
  </si>
  <si>
    <t>u21</t>
  </si>
  <si>
    <t>u22</t>
  </si>
  <si>
    <t>u23</t>
  </si>
  <si>
    <t>u24</t>
  </si>
  <si>
    <t>u25</t>
  </si>
  <si>
    <t>u26</t>
  </si>
  <si>
    <t>u27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</si>
  <si>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</si>
  <si>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</si>
  <si>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</si>
  <si>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</si>
  <si>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</si>
  <si>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</si>
  <si>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</si>
  <si>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</si>
  <si>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</si>
  <si>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</si>
  <si>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</si>
  <si>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</si>
  <si>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</si>
  <si>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</si>
  <si>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</si>
  <si>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</si>
  <si>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</si>
  <si>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</si>
  <si>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</si>
  <si>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</si>
  <si>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fuzzyfikasi</t>
  </si>
  <si>
    <t>A5,A7</t>
  </si>
  <si>
    <t>A3,A4,A5,A6,A6</t>
  </si>
  <si>
    <t>A5,A6,A7,A7,A8</t>
  </si>
  <si>
    <t>A5,A5,A6,A6,A7,A7,A8</t>
  </si>
  <si>
    <t>A7,A7,A8,A9</t>
  </si>
  <si>
    <t>A9,A10</t>
  </si>
  <si>
    <t>A10,A10,A11,A14</t>
  </si>
  <si>
    <t>A8,A10,A11</t>
  </si>
  <si>
    <t>A14,A15</t>
  </si>
  <si>
    <t>A15,A16,A21</t>
  </si>
  <si>
    <t>A21,A26</t>
  </si>
  <si>
    <t>A16,A23,A23,A23,A25</t>
  </si>
  <si>
    <t>A23,A24,A25</t>
  </si>
  <si>
    <t>A23,A24,A26</t>
  </si>
  <si>
    <t>A25,A27</t>
  </si>
  <si>
    <t>Ramalan</t>
  </si>
  <si>
    <t>Mape</t>
  </si>
  <si>
    <t>Emas sebagai mineral ikutan (USD/ounce)</t>
  </si>
  <si>
    <t>U8</t>
  </si>
  <si>
    <t>U9</t>
  </si>
  <si>
    <t>U10</t>
  </si>
  <si>
    <t>U11</t>
  </si>
  <si>
    <t>U12</t>
  </si>
  <si>
    <t>U13</t>
  </si>
  <si>
    <t>U14</t>
  </si>
  <si>
    <t>U15</t>
  </si>
  <si>
    <t>U16</t>
  </si>
  <si>
    <t>U17</t>
  </si>
  <si>
    <t>U18</t>
  </si>
  <si>
    <t>U19</t>
  </si>
  <si>
    <t>U20</t>
  </si>
  <si>
    <t>U21</t>
  </si>
  <si>
    <t>U22</t>
  </si>
  <si>
    <t>U23</t>
  </si>
  <si>
    <t>A1,A1,A1,A2</t>
  </si>
  <si>
    <t>A1,A3</t>
  </si>
  <si>
    <t>A2,A3,A4,A4,A4</t>
  </si>
  <si>
    <t>A3,A3,A4,A5,A5,A7</t>
  </si>
  <si>
    <t>A4,A4</t>
  </si>
  <si>
    <t>A9,A11</t>
  </si>
  <si>
    <t>A15,A16,A18</t>
  </si>
  <si>
    <t>A17,A19</t>
  </si>
  <si>
    <t>A16,A18,A19,A19,A19,A23</t>
  </si>
  <si>
    <t>A18,A18,A18,A20,A21</t>
  </si>
  <si>
    <t>A17,A18,A21,A23</t>
  </si>
  <si>
    <t>A19,A20,A20</t>
  </si>
  <si>
    <t>A20,A22</t>
  </si>
  <si>
    <t>A21,A22,A23,A23</t>
  </si>
  <si>
    <t>interval kelas</t>
  </si>
  <si>
    <t>Fuzzy</t>
  </si>
  <si>
    <t>A1,A1,A1,A1,A2,A2,A2</t>
  </si>
  <si>
    <t>A1,A1,A2,A3,A4,A6</t>
  </si>
  <si>
    <t>A2,A2</t>
  </si>
  <si>
    <t>A1,A3,A3,A3,A4,A5,A6</t>
  </si>
  <si>
    <t>A4,A5,A5,A6</t>
  </si>
  <si>
    <t>A4,A5,A6,A6,A7</t>
  </si>
  <si>
    <t>A8,A17</t>
  </si>
  <si>
    <t>A7,A9</t>
  </si>
  <si>
    <t>A12,A14,A15,A16</t>
  </si>
  <si>
    <t>A14,A14,A16,A16,A19</t>
  </si>
  <si>
    <t>A14,A16,A17,A21</t>
  </si>
  <si>
    <t>A17,A20</t>
  </si>
  <si>
    <t>A18,A20,A21</t>
  </si>
  <si>
    <t>A16,A19</t>
  </si>
  <si>
    <t>A16,A15</t>
  </si>
  <si>
    <t>A7,A10</t>
  </si>
  <si>
    <t>=</t>
  </si>
  <si>
    <r>
      <t>Nikel </t>
    </r>
    <r>
      <rPr>
        <sz val="8"/>
        <color rgb="FF000000"/>
        <rFont val="Roboto"/>
      </rPr>
      <t>(USD/dmt)</t>
    </r>
  </si>
  <si>
    <t>Tanggal</t>
  </si>
  <si>
    <t>Max</t>
  </si>
  <si>
    <t>Fuzzyfikasi</t>
  </si>
  <si>
    <t>Min</t>
  </si>
  <si>
    <t>U</t>
  </si>
  <si>
    <t>Banyak Kelas</t>
  </si>
  <si>
    <t>Panjang Kelas</t>
  </si>
  <si>
    <t>Frekuensi</t>
  </si>
  <si>
    <t>Rank</t>
  </si>
  <si>
    <t>rentang</t>
  </si>
  <si>
    <t>A28</t>
  </si>
  <si>
    <t>N</t>
  </si>
  <si>
    <t>d</t>
  </si>
  <si>
    <t>Prediksi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</si>
</sst>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0000"/>
    <numFmt numFmtId="166" formatCode="#,##0.00000000000000"/>
    <numFmt numFmtId="167" formatCode="0.00000000000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Roboto"/>
    </font>
    <font>
      <sz val="8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BFBFB"/>
        <bgColor indexed="64"/>
      </patternFill>
    </fill>
  </fills>
  <borders count="2">
    <border>
      <left/>
      <right/>
      <top/>
      <bottom/>
      <diagonal/>
    </border>
    <border>
      <left style="medium">
        <color rgb="FFD7D7D7"/>
      </left>
      <right style="medium">
        <color rgb="FFD7D7D7"/>
      </right>
      <top style="medium">
        <color rgb="FFD7D7D7"/>
      </top>
      <bottom style="medium">
        <color rgb="FFD7D7D7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0" fillId="2" borderId="0" xfId="0" applyFill="1"/>
    <xf numFmtId="16" fontId="0" fillId="0" borderId="0" xfId="0" applyNumberFormat="1"/>
    <xf numFmtId="164" fontId="0" fillId="0" borderId="0" xfId="0" applyNumberFormat="1"/>
    <xf numFmtId="0" fontId="2" fillId="3" borderId="1" xfId="0" applyFont="1" applyFill="1" applyBorder="1" applyAlignment="1">
      <alignment vertical="top" wrapText="1"/>
    </xf>
    <xf numFmtId="17" fontId="0" fillId="0" borderId="0" xfId="0" applyNumberFormat="1"/>
    <xf numFmtId="4" fontId="0" fillId="0" borderId="0" xfId="0" applyNumberFormat="1"/>
    <xf numFmtId="1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FTS Lee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'FTS Lee'!$B$1</c:f>
              <c:strCache>
                <c:ptCount val="1"/>
                <c:pt idx="0">
                  <c:v>Nikel (USD/dmt)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'FTS Lee'!$A$2:$A$74</c:f>
              <c:numCache>
                <c:formatCode>mmm\-yy</c:formatCode>
                <c:ptCount val="7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</c:numCache>
            </c:numRef>
          </c:cat>
          <c:val>
            <c:numRef>
              <c:f>'FTS Lee'!$B$2:$B$74</c:f>
              <c:numCache>
                <c:formatCode>General</c:formatCode>
                <c:ptCount val="73"/>
                <c:pt idx="0">
                  <c:v>11304.55</c:v>
                </c:pt>
                <c:pt idx="1">
                  <c:v>12452.75</c:v>
                </c:pt>
                <c:pt idx="2">
                  <c:v>13444.52</c:v>
                </c:pt>
                <c:pt idx="3">
                  <c:v>13619.25</c:v>
                </c:pt>
                <c:pt idx="4">
                  <c:v>13584.76</c:v>
                </c:pt>
                <c:pt idx="5">
                  <c:v>14102.75</c:v>
                </c:pt>
                <c:pt idx="6">
                  <c:v>15067.86</c:v>
                </c:pt>
                <c:pt idx="7">
                  <c:v>14246.82</c:v>
                </c:pt>
                <c:pt idx="8">
                  <c:v>13509.05</c:v>
                </c:pt>
                <c:pt idx="9">
                  <c:v>12803.41</c:v>
                </c:pt>
                <c:pt idx="10">
                  <c:v>12578.64</c:v>
                </c:pt>
                <c:pt idx="11">
                  <c:v>11695</c:v>
                </c:pt>
                <c:pt idx="12">
                  <c:v>10890.68</c:v>
                </c:pt>
                <c:pt idx="13">
                  <c:v>11046.05</c:v>
                </c:pt>
                <c:pt idx="14">
                  <c:v>12249.32</c:v>
                </c:pt>
                <c:pt idx="15">
                  <c:v>13029.5</c:v>
                </c:pt>
                <c:pt idx="16">
                  <c:v>13000.91</c:v>
                </c:pt>
                <c:pt idx="17">
                  <c:v>12100</c:v>
                </c:pt>
                <c:pt idx="18">
                  <c:v>11874.77</c:v>
                </c:pt>
                <c:pt idx="19">
                  <c:v>12832.73</c:v>
                </c:pt>
                <c:pt idx="20">
                  <c:v>14940</c:v>
                </c:pt>
                <c:pt idx="21">
                  <c:v>17176.82</c:v>
                </c:pt>
                <c:pt idx="22">
                  <c:v>17456.43</c:v>
                </c:pt>
                <c:pt idx="23">
                  <c:v>16107.27</c:v>
                </c:pt>
                <c:pt idx="24">
                  <c:v>13875.68</c:v>
                </c:pt>
                <c:pt idx="25">
                  <c:v>14029.72</c:v>
                </c:pt>
                <c:pt idx="26">
                  <c:v>12994.57</c:v>
                </c:pt>
                <c:pt idx="27">
                  <c:v>12301.19</c:v>
                </c:pt>
                <c:pt idx="28">
                  <c:v>11347.68</c:v>
                </c:pt>
                <c:pt idx="29">
                  <c:v>12085.1</c:v>
                </c:pt>
                <c:pt idx="30">
                  <c:v>12595.68</c:v>
                </c:pt>
                <c:pt idx="31">
                  <c:v>13004.6</c:v>
                </c:pt>
                <c:pt idx="32">
                  <c:v>13921.87</c:v>
                </c:pt>
                <c:pt idx="33">
                  <c:v>15059.57</c:v>
                </c:pt>
                <c:pt idx="34">
                  <c:v>14732.1</c:v>
                </c:pt>
                <c:pt idx="35">
                  <c:v>15646.7</c:v>
                </c:pt>
                <c:pt idx="36">
                  <c:v>16541.57</c:v>
                </c:pt>
                <c:pt idx="37">
                  <c:v>17434.05</c:v>
                </c:pt>
                <c:pt idx="38">
                  <c:v>18210.39</c:v>
                </c:pt>
                <c:pt idx="39">
                  <c:v>17251.599999999999</c:v>
                </c:pt>
                <c:pt idx="40">
                  <c:v>16301.95</c:v>
                </c:pt>
                <c:pt idx="41">
                  <c:v>17322.48</c:v>
                </c:pt>
                <c:pt idx="42">
                  <c:v>17650.95</c:v>
                </c:pt>
                <c:pt idx="43">
                  <c:v>18356.86</c:v>
                </c:pt>
                <c:pt idx="44">
                  <c:v>19239.259999999998</c:v>
                </c:pt>
                <c:pt idx="45">
                  <c:v>19499.7</c:v>
                </c:pt>
                <c:pt idx="46">
                  <c:v>18951.82</c:v>
                </c:pt>
                <c:pt idx="47">
                  <c:v>19829.349999999999</c:v>
                </c:pt>
                <c:pt idx="48">
                  <c:v>20189.75</c:v>
                </c:pt>
                <c:pt idx="49">
                  <c:v>21113.75</c:v>
                </c:pt>
                <c:pt idx="50">
                  <c:v>23537.05</c:v>
                </c:pt>
                <c:pt idx="51">
                  <c:v>35995.300000000003</c:v>
                </c:pt>
                <c:pt idx="52">
                  <c:v>33415.75</c:v>
                </c:pt>
                <c:pt idx="53">
                  <c:v>30048.81</c:v>
                </c:pt>
                <c:pt idx="54">
                  <c:v>27414.47</c:v>
                </c:pt>
                <c:pt idx="55">
                  <c:v>22504.77</c:v>
                </c:pt>
                <c:pt idx="56">
                  <c:v>22059.13</c:v>
                </c:pt>
                <c:pt idx="57">
                  <c:v>22081.25</c:v>
                </c:pt>
                <c:pt idx="58">
                  <c:v>22374.77</c:v>
                </c:pt>
                <c:pt idx="59">
                  <c:v>23907.73</c:v>
                </c:pt>
                <c:pt idx="60">
                  <c:v>27482.62</c:v>
                </c:pt>
                <c:pt idx="61">
                  <c:v>28444.5</c:v>
                </c:pt>
                <c:pt idx="62">
                  <c:v>27860</c:v>
                </c:pt>
                <c:pt idx="63">
                  <c:v>24227</c:v>
                </c:pt>
                <c:pt idx="64">
                  <c:v>23278.57</c:v>
                </c:pt>
                <c:pt idx="65">
                  <c:v>23317</c:v>
                </c:pt>
                <c:pt idx="66">
                  <c:v>21376.75</c:v>
                </c:pt>
                <c:pt idx="67">
                  <c:v>20663.86</c:v>
                </c:pt>
                <c:pt idx="68">
                  <c:v>20827.73</c:v>
                </c:pt>
                <c:pt idx="69">
                  <c:v>20190</c:v>
                </c:pt>
                <c:pt idx="70">
                  <c:v>18563.64</c:v>
                </c:pt>
                <c:pt idx="71">
                  <c:v>17653.330000000002</c:v>
                </c:pt>
                <c:pt idx="72">
                  <c:v>16368.86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2-424B-BF82-3928D7523005}"/>
            </c:ext>
          </c:extLst>
        </c:ser>
        <c:ser>
          <c:idx val="1"/>
          <c:order val="1"/>
          <c:tx>
            <c:strRef>
              <c:f>'FTS Lee'!$F$1</c:f>
              <c:strCache>
                <c:ptCount val="1"/>
                <c:pt idx="0">
                  <c:v>Prediksi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'FTS Lee'!$A$2:$A$74</c:f>
              <c:numCache>
                <c:formatCode>mmm\-yy</c:formatCode>
                <c:ptCount val="7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</c:numCache>
            </c:numRef>
          </c:cat>
          <c:val>
            <c:numRef>
              <c:f>'FTS Lee'!$F$2:$F$74</c:f>
              <c:numCache>
                <c:formatCode>General</c:formatCode>
                <c:ptCount val="73"/>
                <c:pt idx="1">
                  <c:v>13009.775383201106</c:v>
                </c:pt>
                <c:pt idx="2">
                  <c:v>13009.775383201106</c:v>
                </c:pt>
                <c:pt idx="3">
                  <c:v>13009.775383201106</c:v>
                </c:pt>
                <c:pt idx="4">
                  <c:v>13009.775383201106</c:v>
                </c:pt>
                <c:pt idx="5">
                  <c:v>13009.775383201106</c:v>
                </c:pt>
                <c:pt idx="6">
                  <c:v>13009.775383201106</c:v>
                </c:pt>
                <c:pt idx="7">
                  <c:v>16158.145666814176</c:v>
                </c:pt>
                <c:pt idx="8">
                  <c:v>13009.775383201106</c:v>
                </c:pt>
                <c:pt idx="9">
                  <c:v>13009.775383201106</c:v>
                </c:pt>
                <c:pt idx="10">
                  <c:v>13009.775383201106</c:v>
                </c:pt>
                <c:pt idx="11">
                  <c:v>13009.775383201106</c:v>
                </c:pt>
                <c:pt idx="12">
                  <c:v>13009.775383201106</c:v>
                </c:pt>
                <c:pt idx="13">
                  <c:v>13009.775383201106</c:v>
                </c:pt>
                <c:pt idx="14">
                  <c:v>13009.775383201106</c:v>
                </c:pt>
                <c:pt idx="15">
                  <c:v>13009.775383201106</c:v>
                </c:pt>
                <c:pt idx="16">
                  <c:v>13009.775383201106</c:v>
                </c:pt>
                <c:pt idx="17">
                  <c:v>13009.775383201106</c:v>
                </c:pt>
                <c:pt idx="18">
                  <c:v>13009.775383201106</c:v>
                </c:pt>
                <c:pt idx="19">
                  <c:v>13009.775383201106</c:v>
                </c:pt>
                <c:pt idx="20">
                  <c:v>13009.775383201106</c:v>
                </c:pt>
                <c:pt idx="21">
                  <c:v>16158.145666814176</c:v>
                </c:pt>
                <c:pt idx="22">
                  <c:v>16158.145666814176</c:v>
                </c:pt>
                <c:pt idx="23">
                  <c:v>16158.145666814176</c:v>
                </c:pt>
                <c:pt idx="24">
                  <c:v>16158.145666814176</c:v>
                </c:pt>
                <c:pt idx="25">
                  <c:v>13009.775383201106</c:v>
                </c:pt>
                <c:pt idx="26">
                  <c:v>13009.775383201106</c:v>
                </c:pt>
                <c:pt idx="27">
                  <c:v>13009.775383201106</c:v>
                </c:pt>
                <c:pt idx="28">
                  <c:v>13009.775383201106</c:v>
                </c:pt>
                <c:pt idx="29">
                  <c:v>13009.775383201106</c:v>
                </c:pt>
                <c:pt idx="30">
                  <c:v>13009.775383201106</c:v>
                </c:pt>
                <c:pt idx="31">
                  <c:v>13009.775383201106</c:v>
                </c:pt>
                <c:pt idx="32">
                  <c:v>13009.775383201106</c:v>
                </c:pt>
                <c:pt idx="33">
                  <c:v>13009.775383201106</c:v>
                </c:pt>
                <c:pt idx="34">
                  <c:v>16158.145666814176</c:v>
                </c:pt>
                <c:pt idx="35">
                  <c:v>16158.145666814176</c:v>
                </c:pt>
                <c:pt idx="36">
                  <c:v>16158.145666814176</c:v>
                </c:pt>
                <c:pt idx="37">
                  <c:v>16158.145666814176</c:v>
                </c:pt>
                <c:pt idx="38">
                  <c:v>16158.145666814176</c:v>
                </c:pt>
                <c:pt idx="39">
                  <c:v>19399.663000238284</c:v>
                </c:pt>
                <c:pt idx="40">
                  <c:v>16158.145666814176</c:v>
                </c:pt>
                <c:pt idx="41">
                  <c:v>16158.145666814176</c:v>
                </c:pt>
                <c:pt idx="42">
                  <c:v>16158.145666814176</c:v>
                </c:pt>
                <c:pt idx="43">
                  <c:v>16158.145666814176</c:v>
                </c:pt>
                <c:pt idx="44">
                  <c:v>19399.663000238284</c:v>
                </c:pt>
                <c:pt idx="45">
                  <c:v>19399.663000238284</c:v>
                </c:pt>
                <c:pt idx="46">
                  <c:v>19399.663000238284</c:v>
                </c:pt>
                <c:pt idx="47">
                  <c:v>19399.663000238284</c:v>
                </c:pt>
                <c:pt idx="48">
                  <c:v>19399.663000238284</c:v>
                </c:pt>
                <c:pt idx="49">
                  <c:v>19399.663000238284</c:v>
                </c:pt>
                <c:pt idx="50">
                  <c:v>19399.663000238284</c:v>
                </c:pt>
                <c:pt idx="51">
                  <c:v>24381.043012684404</c:v>
                </c:pt>
                <c:pt idx="52">
                  <c:v>32091.321055973502</c:v>
                </c:pt>
                <c:pt idx="53">
                  <c:v>32091.321055973502</c:v>
                </c:pt>
                <c:pt idx="54">
                  <c:v>26693.077000442529</c:v>
                </c:pt>
                <c:pt idx="55">
                  <c:v>24937.25511150447</c:v>
                </c:pt>
                <c:pt idx="56">
                  <c:v>24381.043012684404</c:v>
                </c:pt>
                <c:pt idx="57">
                  <c:v>24381.043012684404</c:v>
                </c:pt>
                <c:pt idx="58">
                  <c:v>24381.043012684404</c:v>
                </c:pt>
                <c:pt idx="59">
                  <c:v>24381.043012684404</c:v>
                </c:pt>
                <c:pt idx="60">
                  <c:v>24381.043012684404</c:v>
                </c:pt>
                <c:pt idx="61">
                  <c:v>24937.25511150447</c:v>
                </c:pt>
                <c:pt idx="62">
                  <c:v>24937.25511150447</c:v>
                </c:pt>
                <c:pt idx="63">
                  <c:v>24937.25511150447</c:v>
                </c:pt>
                <c:pt idx="64">
                  <c:v>24381.043012684404</c:v>
                </c:pt>
                <c:pt idx="65">
                  <c:v>24381.043012684404</c:v>
                </c:pt>
                <c:pt idx="66">
                  <c:v>24381.043012684404</c:v>
                </c:pt>
                <c:pt idx="67">
                  <c:v>32091.321055973502</c:v>
                </c:pt>
                <c:pt idx="68">
                  <c:v>19399.663000238284</c:v>
                </c:pt>
                <c:pt idx="69">
                  <c:v>19399.663000238284</c:v>
                </c:pt>
                <c:pt idx="70">
                  <c:v>19399.663000238284</c:v>
                </c:pt>
                <c:pt idx="71">
                  <c:v>19399.663000238284</c:v>
                </c:pt>
                <c:pt idx="72">
                  <c:v>16158.145666814176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2-424B-BF82-3928D7523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28112"/>
        <c:axId val="2144296800"/>
      </c:lineChart>
      <c:dateAx>
        <c:axId val="1149281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4296800"/>
        <c:crosses val="autoZero"/>
        <c:auto val="1"/>
        <c:lblOffset val="100"/>
        <c:baseTimeUnit val="months"/>
      </c:dateAx>
      <c:valAx>
        <c:axId val="214429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928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FTS</a:t>
            </a:r>
            <a:r>
              <a:rPr lang="en-US" baseline="0"/>
              <a:t> Saxena Easo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'FTS Saxena'!$B$1</c:f>
              <c:strCache>
                <c:ptCount val="1"/>
                <c:pt idx="0">
                  <c:v>Nikel (USD/dmt)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'FTS Saxena'!$A$2:$A$74</c:f>
              <c:numCache>
                <c:formatCode>mmm\-yy</c:formatCode>
                <c:ptCount val="7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</c:numCache>
            </c:numRef>
          </c:cat>
          <c:val>
            <c:numRef>
              <c:f>'FTS Saxena'!$B$2:$B$74</c:f>
              <c:numCache>
                <c:formatCode>General</c:formatCode>
                <c:ptCount val="73"/>
                <c:pt idx="0">
                  <c:v>11304.55</c:v>
                </c:pt>
                <c:pt idx="1">
                  <c:v>12452.75</c:v>
                </c:pt>
                <c:pt idx="2">
                  <c:v>13444.52</c:v>
                </c:pt>
                <c:pt idx="3">
                  <c:v>13619.25</c:v>
                </c:pt>
                <c:pt idx="4">
                  <c:v>13584.76</c:v>
                </c:pt>
                <c:pt idx="5">
                  <c:v>14102.75</c:v>
                </c:pt>
                <c:pt idx="6">
                  <c:v>15067.86</c:v>
                </c:pt>
                <c:pt idx="7">
                  <c:v>14246.82</c:v>
                </c:pt>
                <c:pt idx="8">
                  <c:v>13509.05</c:v>
                </c:pt>
                <c:pt idx="9">
                  <c:v>12803.41</c:v>
                </c:pt>
                <c:pt idx="10">
                  <c:v>12578.64</c:v>
                </c:pt>
                <c:pt idx="11">
                  <c:v>11695</c:v>
                </c:pt>
                <c:pt idx="12">
                  <c:v>10890.68</c:v>
                </c:pt>
                <c:pt idx="13">
                  <c:v>11046.05</c:v>
                </c:pt>
                <c:pt idx="14">
                  <c:v>12249.32</c:v>
                </c:pt>
                <c:pt idx="15">
                  <c:v>13029.5</c:v>
                </c:pt>
                <c:pt idx="16">
                  <c:v>13000.91</c:v>
                </c:pt>
                <c:pt idx="17">
                  <c:v>12100</c:v>
                </c:pt>
                <c:pt idx="18">
                  <c:v>11874.77</c:v>
                </c:pt>
                <c:pt idx="19">
                  <c:v>12832.73</c:v>
                </c:pt>
                <c:pt idx="20">
                  <c:v>14940</c:v>
                </c:pt>
                <c:pt idx="21">
                  <c:v>17176.82</c:v>
                </c:pt>
                <c:pt idx="22">
                  <c:v>17456.43</c:v>
                </c:pt>
                <c:pt idx="23">
                  <c:v>16107.27</c:v>
                </c:pt>
                <c:pt idx="24">
                  <c:v>13875.68</c:v>
                </c:pt>
                <c:pt idx="25">
                  <c:v>14029.72</c:v>
                </c:pt>
                <c:pt idx="26">
                  <c:v>12994.57</c:v>
                </c:pt>
                <c:pt idx="27">
                  <c:v>12301.19</c:v>
                </c:pt>
                <c:pt idx="28">
                  <c:v>11347.68</c:v>
                </c:pt>
                <c:pt idx="29">
                  <c:v>12085.1</c:v>
                </c:pt>
                <c:pt idx="30">
                  <c:v>12595.68</c:v>
                </c:pt>
                <c:pt idx="31">
                  <c:v>13004.6</c:v>
                </c:pt>
                <c:pt idx="32">
                  <c:v>13921.87</c:v>
                </c:pt>
                <c:pt idx="33">
                  <c:v>15059.57</c:v>
                </c:pt>
                <c:pt idx="34">
                  <c:v>14732.1</c:v>
                </c:pt>
                <c:pt idx="35">
                  <c:v>15646.7</c:v>
                </c:pt>
                <c:pt idx="36">
                  <c:v>16541.57</c:v>
                </c:pt>
                <c:pt idx="37">
                  <c:v>17434.05</c:v>
                </c:pt>
                <c:pt idx="38">
                  <c:v>18210.39</c:v>
                </c:pt>
                <c:pt idx="39">
                  <c:v>17251.599999999999</c:v>
                </c:pt>
                <c:pt idx="40">
                  <c:v>16301.95</c:v>
                </c:pt>
                <c:pt idx="41">
                  <c:v>17322.48</c:v>
                </c:pt>
                <c:pt idx="42">
                  <c:v>17650.95</c:v>
                </c:pt>
                <c:pt idx="43">
                  <c:v>18356.86</c:v>
                </c:pt>
                <c:pt idx="44">
                  <c:v>19239.259999999998</c:v>
                </c:pt>
                <c:pt idx="45">
                  <c:v>19499.7</c:v>
                </c:pt>
                <c:pt idx="46">
                  <c:v>18951.82</c:v>
                </c:pt>
                <c:pt idx="47">
                  <c:v>19829.349999999999</c:v>
                </c:pt>
                <c:pt idx="48">
                  <c:v>20189.75</c:v>
                </c:pt>
                <c:pt idx="49">
                  <c:v>21113.75</c:v>
                </c:pt>
                <c:pt idx="50">
                  <c:v>23537.05</c:v>
                </c:pt>
                <c:pt idx="51">
                  <c:v>35995.300000000003</c:v>
                </c:pt>
                <c:pt idx="52">
                  <c:v>33415.75</c:v>
                </c:pt>
                <c:pt idx="53">
                  <c:v>30048.81</c:v>
                </c:pt>
                <c:pt idx="54">
                  <c:v>27414.47</c:v>
                </c:pt>
                <c:pt idx="55">
                  <c:v>22504.77</c:v>
                </c:pt>
                <c:pt idx="56">
                  <c:v>22059.13</c:v>
                </c:pt>
                <c:pt idx="57">
                  <c:v>22081.25</c:v>
                </c:pt>
                <c:pt idx="58">
                  <c:v>22374.77</c:v>
                </c:pt>
                <c:pt idx="59">
                  <c:v>23907.73</c:v>
                </c:pt>
                <c:pt idx="60">
                  <c:v>27482.62</c:v>
                </c:pt>
                <c:pt idx="61">
                  <c:v>28444.5</c:v>
                </c:pt>
                <c:pt idx="62">
                  <c:v>27860</c:v>
                </c:pt>
                <c:pt idx="63">
                  <c:v>24227</c:v>
                </c:pt>
                <c:pt idx="64">
                  <c:v>23278.57</c:v>
                </c:pt>
                <c:pt idx="65">
                  <c:v>23317</c:v>
                </c:pt>
                <c:pt idx="66">
                  <c:v>21376.75</c:v>
                </c:pt>
                <c:pt idx="67">
                  <c:v>20663.86</c:v>
                </c:pt>
                <c:pt idx="68">
                  <c:v>20827.73</c:v>
                </c:pt>
                <c:pt idx="69">
                  <c:v>20190</c:v>
                </c:pt>
                <c:pt idx="70">
                  <c:v>18563.64</c:v>
                </c:pt>
                <c:pt idx="71">
                  <c:v>17653.330000000002</c:v>
                </c:pt>
                <c:pt idx="72">
                  <c:v>16368.86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E-4995-9E37-A59D08151521}"/>
            </c:ext>
          </c:extLst>
        </c:ser>
        <c:ser>
          <c:idx val="1"/>
          <c:order val="1"/>
          <c:tx>
            <c:strRef>
              <c:f>'FTS Saxena'!$F$1</c:f>
              <c:strCache>
                <c:ptCount val="1"/>
                <c:pt idx="0">
                  <c:v>Prediksi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'FTS Saxena'!$A$2:$A$74</c:f>
              <c:numCache>
                <c:formatCode>mmm\-yy</c:formatCode>
                <c:ptCount val="7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</c:numCache>
            </c:numRef>
          </c:cat>
          <c:val>
            <c:numRef>
              <c:f>'FTS Saxena'!$F$2:$F$74</c:f>
              <c:numCache>
                <c:formatCode>General</c:formatCode>
                <c:ptCount val="73"/>
                <c:pt idx="1">
                  <c:v>12343.935915087437</c:v>
                </c:pt>
                <c:pt idx="2">
                  <c:v>13422.604802703481</c:v>
                </c:pt>
                <c:pt idx="3">
                  <c:v>13526.658080700487</c:v>
                </c:pt>
                <c:pt idx="4">
                  <c:v>13679.628220213597</c:v>
                </c:pt>
                <c:pt idx="5">
                  <c:v>14084.129846736336</c:v>
                </c:pt>
                <c:pt idx="6">
                  <c:v>15010.360147005151</c:v>
                </c:pt>
                <c:pt idx="7">
                  <c:v>14254.701963539936</c:v>
                </c:pt>
                <c:pt idx="8">
                  <c:v>13477.970529869539</c:v>
                </c:pt>
                <c:pt idx="9">
                  <c:v>12780.015314753333</c:v>
                </c:pt>
                <c:pt idx="10">
                  <c:v>12586.553931463281</c:v>
                </c:pt>
                <c:pt idx="11">
                  <c:v>11730.084215032106</c:v>
                </c:pt>
                <c:pt idx="12">
                  <c:v>10906.054620753952</c:v>
                </c:pt>
                <c:pt idx="13">
                  <c:v>10957.215625870107</c:v>
                </c:pt>
                <c:pt idx="14">
                  <c:v>12061.668382629257</c:v>
                </c:pt>
                <c:pt idx="15">
                  <c:v>13037.649022773086</c:v>
                </c:pt>
                <c:pt idx="16">
                  <c:v>13087.263681573733</c:v>
                </c:pt>
                <c:pt idx="17">
                  <c:v>12123.867856306648</c:v>
                </c:pt>
                <c:pt idx="18">
                  <c:v>11895.057845582209</c:v>
                </c:pt>
                <c:pt idx="19">
                  <c:v>12799.610112866574</c:v>
                </c:pt>
                <c:pt idx="20">
                  <c:v>14724.666753823423</c:v>
                </c:pt>
                <c:pt idx="21">
                  <c:v>16841.64590609791</c:v>
                </c:pt>
                <c:pt idx="22">
                  <c:v>17281.760230468455</c:v>
                </c:pt>
                <c:pt idx="23">
                  <c:v>16009.423949288113</c:v>
                </c:pt>
                <c:pt idx="24">
                  <c:v>13642.558522170268</c:v>
                </c:pt>
                <c:pt idx="25">
                  <c:v>13960.452213780345</c:v>
                </c:pt>
                <c:pt idx="26">
                  <c:v>12866.762297320038</c:v>
                </c:pt>
                <c:pt idx="27">
                  <c:v>12293.29994401044</c:v>
                </c:pt>
                <c:pt idx="28">
                  <c:v>11281.514364090679</c:v>
                </c:pt>
                <c:pt idx="29">
                  <c:v>12077.982211481265</c:v>
                </c:pt>
                <c:pt idx="30">
                  <c:v>12529.342999861117</c:v>
                </c:pt>
                <c:pt idx="31">
                  <c:v>12880.646656328718</c:v>
                </c:pt>
                <c:pt idx="32">
                  <c:v>13841.536549094551</c:v>
                </c:pt>
                <c:pt idx="33">
                  <c:v>15006.14395411564</c:v>
                </c:pt>
                <c:pt idx="34">
                  <c:v>14804.500518974748</c:v>
                </c:pt>
                <c:pt idx="35">
                  <c:v>15479.029949437585</c:v>
                </c:pt>
                <c:pt idx="36">
                  <c:v>16440.000944187526</c:v>
                </c:pt>
                <c:pt idx="37">
                  <c:v>17380.241611224352</c:v>
                </c:pt>
                <c:pt idx="38">
                  <c:v>18074.918066605049</c:v>
                </c:pt>
                <c:pt idx="39">
                  <c:v>17227.640958293214</c:v>
                </c:pt>
                <c:pt idx="40">
                  <c:v>16320.593395094296</c:v>
                </c:pt>
                <c:pt idx="41">
                  <c:v>17128.472674244273</c:v>
                </c:pt>
                <c:pt idx="42">
                  <c:v>17428.310127083194</c:v>
                </c:pt>
                <c:pt idx="43">
                  <c:v>18299.791215910383</c:v>
                </c:pt>
                <c:pt idx="44">
                  <c:v>19287.56835194119</c:v>
                </c:pt>
                <c:pt idx="45">
                  <c:v>19356.800521379537</c:v>
                </c:pt>
                <c:pt idx="46">
                  <c:v>18917.211518014832</c:v>
                </c:pt>
                <c:pt idx="47">
                  <c:v>19648.480629173766</c:v>
                </c:pt>
                <c:pt idx="48">
                  <c:v>19950.49562294066</c:v>
                </c:pt>
                <c:pt idx="49">
                  <c:v>20931.916395515633</c:v>
                </c:pt>
                <c:pt idx="50">
                  <c:v>23398.90625323819</c:v>
                </c:pt>
                <c:pt idx="51">
                  <c:v>30769.513116172096</c:v>
                </c:pt>
                <c:pt idx="52">
                  <c:v>33011.56180741483</c:v>
                </c:pt>
                <c:pt idx="53">
                  <c:v>29565.809791307172</c:v>
                </c:pt>
                <c:pt idx="54">
                  <c:v>27071.322898598002</c:v>
                </c:pt>
                <c:pt idx="55">
                  <c:v>22014.218263548522</c:v>
                </c:pt>
                <c:pt idx="56">
                  <c:v>22123.598425745713</c:v>
                </c:pt>
                <c:pt idx="57">
                  <c:v>22156.92473971477</c:v>
                </c:pt>
                <c:pt idx="58">
                  <c:v>22216.1534026107</c:v>
                </c:pt>
                <c:pt idx="59">
                  <c:v>23814.742224488589</c:v>
                </c:pt>
                <c:pt idx="60">
                  <c:v>26950.838224805499</c:v>
                </c:pt>
                <c:pt idx="61">
                  <c:v>28492.869112778801</c:v>
                </c:pt>
                <c:pt idx="62">
                  <c:v>27962.725032120918</c:v>
                </c:pt>
                <c:pt idx="63">
                  <c:v>23596.902543240642</c:v>
                </c:pt>
                <c:pt idx="64">
                  <c:v>23212.473636534098</c:v>
                </c:pt>
                <c:pt idx="65">
                  <c:v>23381.770882994118</c:v>
                </c:pt>
                <c:pt idx="66">
                  <c:v>21384.197010817843</c:v>
                </c:pt>
                <c:pt idx="67">
                  <c:v>20738.190911538306</c:v>
                </c:pt>
                <c:pt idx="68">
                  <c:v>20790.103986417034</c:v>
                </c:pt>
                <c:pt idx="69">
                  <c:v>20205.571052380448</c:v>
                </c:pt>
                <c:pt idx="70">
                  <c:v>18516.401666098223</c:v>
                </c:pt>
                <c:pt idx="71">
                  <c:v>17561.827330387227</c:v>
                </c:pt>
                <c:pt idx="72">
                  <c:v>16190.002428141743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E-4995-9E37-A59D08151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21392"/>
        <c:axId val="2141828672"/>
      </c:lineChart>
      <c:dateAx>
        <c:axId val="1149213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1828672"/>
        <c:crosses val="autoZero"/>
        <c:auto val="1"/>
        <c:lblOffset val="100"/>
        <c:baseTimeUnit val="months"/>
      </c:dateAx>
      <c:valAx>
        <c:axId val="214182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92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Prediksi tembaga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Tembaga!$B$1</c:f>
              <c:strCache>
                <c:ptCount val="1"/>
                <c:pt idx="0">
                  <c:v>tembaga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Tembaga!$A$2:$A$61</c:f>
              <c:strCache>
                <c:ptCount val="60"/>
                <c:pt idx="0">
                  <c:v>Januari 2018</c:v>
                </c:pt>
                <c:pt idx="1">
                  <c:v>Februari 2018</c:v>
                </c:pt>
                <c:pt idx="2">
                  <c:v>Maret 2018</c:v>
                </c:pt>
                <c:pt idx="3">
                  <c:v>Apr-18</c:v>
                </c:pt>
                <c:pt idx="4">
                  <c:v>Mei 2018</c:v>
                </c:pt>
                <c:pt idx="5">
                  <c:v>Juni 2018</c:v>
                </c:pt>
                <c:pt idx="6">
                  <c:v>Juli 2018</c:v>
                </c:pt>
                <c:pt idx="7">
                  <c:v>Agustus 2018</c:v>
                </c:pt>
                <c:pt idx="8">
                  <c:v>Sep-18</c:v>
                </c:pt>
                <c:pt idx="9">
                  <c:v>Oktober 2018</c:v>
                </c:pt>
                <c:pt idx="10">
                  <c:v>Nov-18</c:v>
                </c:pt>
                <c:pt idx="11">
                  <c:v>Desember 2018</c:v>
                </c:pt>
                <c:pt idx="12">
                  <c:v>Januari 2019</c:v>
                </c:pt>
                <c:pt idx="13">
                  <c:v>Februari 2019</c:v>
                </c:pt>
                <c:pt idx="14">
                  <c:v>Maret 2019</c:v>
                </c:pt>
                <c:pt idx="15">
                  <c:v>Apr-19</c:v>
                </c:pt>
                <c:pt idx="16">
                  <c:v>Mei 2019</c:v>
                </c:pt>
                <c:pt idx="17">
                  <c:v>Juni 2019</c:v>
                </c:pt>
                <c:pt idx="18">
                  <c:v>Juli 2019</c:v>
                </c:pt>
                <c:pt idx="19">
                  <c:v>Agustus 2019</c:v>
                </c:pt>
                <c:pt idx="20">
                  <c:v>Sep-19</c:v>
                </c:pt>
                <c:pt idx="21">
                  <c:v>Oktober 2019</c:v>
                </c:pt>
                <c:pt idx="22">
                  <c:v>Nov-19</c:v>
                </c:pt>
                <c:pt idx="23">
                  <c:v>Desember 2019</c:v>
                </c:pt>
                <c:pt idx="24">
                  <c:v>Januari 2020</c:v>
                </c:pt>
                <c:pt idx="25">
                  <c:v>Februari 2020</c:v>
                </c:pt>
                <c:pt idx="26">
                  <c:v>Maret 2020</c:v>
                </c:pt>
                <c:pt idx="27">
                  <c:v>Apr-20</c:v>
                </c:pt>
                <c:pt idx="28">
                  <c:v>Mei 2020</c:v>
                </c:pt>
                <c:pt idx="29">
                  <c:v>Juni 2020</c:v>
                </c:pt>
                <c:pt idx="30">
                  <c:v>Juli 2020</c:v>
                </c:pt>
                <c:pt idx="31">
                  <c:v>Agustus 2020</c:v>
                </c:pt>
                <c:pt idx="32">
                  <c:v>Sep-20</c:v>
                </c:pt>
                <c:pt idx="33">
                  <c:v>Oktober 2020</c:v>
                </c:pt>
                <c:pt idx="34">
                  <c:v>Nov-20</c:v>
                </c:pt>
                <c:pt idx="35">
                  <c:v>Desember 2020</c:v>
                </c:pt>
                <c:pt idx="36">
                  <c:v>Januari 2021</c:v>
                </c:pt>
                <c:pt idx="37">
                  <c:v>Februari 2021</c:v>
                </c:pt>
                <c:pt idx="38">
                  <c:v>Maret 2021</c:v>
                </c:pt>
                <c:pt idx="39">
                  <c:v>Apr-21</c:v>
                </c:pt>
                <c:pt idx="40">
                  <c:v>Mei 2021</c:v>
                </c:pt>
                <c:pt idx="41">
                  <c:v>Juni 2021</c:v>
                </c:pt>
                <c:pt idx="42">
                  <c:v>Juli 2021</c:v>
                </c:pt>
                <c:pt idx="43">
                  <c:v>Agustus 2021</c:v>
                </c:pt>
                <c:pt idx="44">
                  <c:v>Sep-21</c:v>
                </c:pt>
                <c:pt idx="45">
                  <c:v>Oktober 2021</c:v>
                </c:pt>
                <c:pt idx="46">
                  <c:v>Nov-21</c:v>
                </c:pt>
                <c:pt idx="47">
                  <c:v>Desember 2021</c:v>
                </c:pt>
                <c:pt idx="48">
                  <c:v>Januari 2022</c:v>
                </c:pt>
                <c:pt idx="49">
                  <c:v>Februari 2022</c:v>
                </c:pt>
                <c:pt idx="50">
                  <c:v>Maret 2022</c:v>
                </c:pt>
                <c:pt idx="51">
                  <c:v>Apr-22</c:v>
                </c:pt>
                <c:pt idx="52">
                  <c:v>Mei 2022</c:v>
                </c:pt>
                <c:pt idx="53">
                  <c:v>Juni 2022</c:v>
                </c:pt>
                <c:pt idx="54">
                  <c:v>Juli 2022</c:v>
                </c:pt>
                <c:pt idx="55">
                  <c:v>Agustus 2022</c:v>
                </c:pt>
                <c:pt idx="56">
                  <c:v>Sep-22</c:v>
                </c:pt>
                <c:pt idx="57">
                  <c:v>Oktober 2022</c:v>
                </c:pt>
                <c:pt idx="58">
                  <c:v>Nov-22</c:v>
                </c:pt>
                <c:pt idx="59">
                  <c:v>22-Dec</c:v>
                </c:pt>
              </c:strCache>
            </c:strRef>
          </c:cat>
          <c:val>
            <c:numRef>
              <c:f>Tembaga!$B$2:$B$61</c:f>
              <c:numCache>
                <c:formatCode>0.00</c:formatCode>
                <c:ptCount val="60"/>
                <c:pt idx="0">
                  <c:v>6741.5</c:v>
                </c:pt>
                <c:pt idx="1">
                  <c:v>7095.83</c:v>
                </c:pt>
                <c:pt idx="2">
                  <c:v>7004.4</c:v>
                </c:pt>
                <c:pt idx="3">
                  <c:v>6932.35</c:v>
                </c:pt>
                <c:pt idx="4">
                  <c:v>6751.79</c:v>
                </c:pt>
                <c:pt idx="5">
                  <c:v>6837.1</c:v>
                </c:pt>
                <c:pt idx="6">
                  <c:v>6996.69</c:v>
                </c:pt>
                <c:pt idx="7">
                  <c:v>6446.39</c:v>
                </c:pt>
                <c:pt idx="8">
                  <c:v>6107.4</c:v>
                </c:pt>
                <c:pt idx="9">
                  <c:v>5956.98</c:v>
                </c:pt>
                <c:pt idx="10">
                  <c:v>6226.2</c:v>
                </c:pt>
                <c:pt idx="11">
                  <c:v>6174.14</c:v>
                </c:pt>
                <c:pt idx="12">
                  <c:v>6180.77</c:v>
                </c:pt>
                <c:pt idx="13">
                  <c:v>5926.24</c:v>
                </c:pt>
                <c:pt idx="14">
                  <c:v>6093.59</c:v>
                </c:pt>
                <c:pt idx="15">
                  <c:v>6475.48</c:v>
                </c:pt>
                <c:pt idx="16">
                  <c:v>6442.16</c:v>
                </c:pt>
                <c:pt idx="17">
                  <c:v>6218.67</c:v>
                </c:pt>
                <c:pt idx="18">
                  <c:v>5852</c:v>
                </c:pt>
                <c:pt idx="19">
                  <c:v>5937.45</c:v>
                </c:pt>
                <c:pt idx="20">
                  <c:v>5816.4</c:v>
                </c:pt>
                <c:pt idx="21">
                  <c:v>5725.3</c:v>
                </c:pt>
                <c:pt idx="22">
                  <c:v>5697.05</c:v>
                </c:pt>
                <c:pt idx="23">
                  <c:v>5851.98</c:v>
                </c:pt>
                <c:pt idx="24">
                  <c:v>5959.75</c:v>
                </c:pt>
                <c:pt idx="25">
                  <c:v>6178.78</c:v>
                </c:pt>
                <c:pt idx="26">
                  <c:v>5786.04</c:v>
                </c:pt>
                <c:pt idx="27">
                  <c:v>5493.5</c:v>
                </c:pt>
                <c:pt idx="28">
                  <c:v>4889.68</c:v>
                </c:pt>
                <c:pt idx="29">
                  <c:v>5162.17</c:v>
                </c:pt>
                <c:pt idx="30">
                  <c:v>5550.18</c:v>
                </c:pt>
                <c:pt idx="31">
                  <c:v>6150.3</c:v>
                </c:pt>
                <c:pt idx="32">
                  <c:v>6447.8</c:v>
                </c:pt>
                <c:pt idx="33">
                  <c:v>6701.07</c:v>
                </c:pt>
                <c:pt idx="34">
                  <c:v>6639.12</c:v>
                </c:pt>
                <c:pt idx="35">
                  <c:v>6874.41</c:v>
                </c:pt>
                <c:pt idx="36">
                  <c:v>7607.31</c:v>
                </c:pt>
                <c:pt idx="37">
                  <c:v>7921.82</c:v>
                </c:pt>
                <c:pt idx="38">
                  <c:v>8101.57</c:v>
                </c:pt>
                <c:pt idx="39">
                  <c:v>9099.58</c:v>
                </c:pt>
                <c:pt idx="40">
                  <c:v>8994.9699999999993</c:v>
                </c:pt>
                <c:pt idx="41">
                  <c:v>10031.36</c:v>
                </c:pt>
                <c:pt idx="42">
                  <c:v>9869</c:v>
                </c:pt>
                <c:pt idx="43">
                  <c:v>9334.07</c:v>
                </c:pt>
                <c:pt idx="44">
                  <c:v>9448.7999999999993</c:v>
                </c:pt>
                <c:pt idx="45">
                  <c:v>9360.7800000000007</c:v>
                </c:pt>
                <c:pt idx="46">
                  <c:v>9470.34</c:v>
                </c:pt>
                <c:pt idx="47">
                  <c:v>9844.41</c:v>
                </c:pt>
                <c:pt idx="48">
                  <c:v>9604</c:v>
                </c:pt>
                <c:pt idx="49">
                  <c:v>9687.33</c:v>
                </c:pt>
                <c:pt idx="50">
                  <c:v>9888.14</c:v>
                </c:pt>
                <c:pt idx="51">
                  <c:v>10124.75</c:v>
                </c:pt>
                <c:pt idx="52">
                  <c:v>10311.18</c:v>
                </c:pt>
                <c:pt idx="53">
                  <c:v>9581.83</c:v>
                </c:pt>
                <c:pt idx="54">
                  <c:v>9428.5300000000007</c:v>
                </c:pt>
                <c:pt idx="55">
                  <c:v>7957.07</c:v>
                </c:pt>
                <c:pt idx="56">
                  <c:v>7780.24</c:v>
                </c:pt>
                <c:pt idx="57">
                  <c:v>7901.75</c:v>
                </c:pt>
                <c:pt idx="58">
                  <c:v>7608.77</c:v>
                </c:pt>
                <c:pt idx="59">
                  <c:v>7890.73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7-4ABF-98FC-E2839B7444C6}"/>
            </c:ext>
          </c:extLst>
        </c:ser>
        <c:ser>
          <c:idx val="1"/>
          <c:order val="1"/>
          <c:tx>
            <c:strRef>
              <c:f>Tembaga!$G$1</c:f>
              <c:strCache>
                <c:ptCount val="1"/>
                <c:pt idx="0">
                  <c:v>Ramalan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Tembaga!$A$2:$A$61</c:f>
              <c:strCache>
                <c:ptCount val="60"/>
                <c:pt idx="0">
                  <c:v>Januari 2018</c:v>
                </c:pt>
                <c:pt idx="1">
                  <c:v>Februari 2018</c:v>
                </c:pt>
                <c:pt idx="2">
                  <c:v>Maret 2018</c:v>
                </c:pt>
                <c:pt idx="3">
                  <c:v>Apr-18</c:v>
                </c:pt>
                <c:pt idx="4">
                  <c:v>Mei 2018</c:v>
                </c:pt>
                <c:pt idx="5">
                  <c:v>Juni 2018</c:v>
                </c:pt>
                <c:pt idx="6">
                  <c:v>Juli 2018</c:v>
                </c:pt>
                <c:pt idx="7">
                  <c:v>Agustus 2018</c:v>
                </c:pt>
                <c:pt idx="8">
                  <c:v>Sep-18</c:v>
                </c:pt>
                <c:pt idx="9">
                  <c:v>Oktober 2018</c:v>
                </c:pt>
                <c:pt idx="10">
                  <c:v>Nov-18</c:v>
                </c:pt>
                <c:pt idx="11">
                  <c:v>Desember 2018</c:v>
                </c:pt>
                <c:pt idx="12">
                  <c:v>Januari 2019</c:v>
                </c:pt>
                <c:pt idx="13">
                  <c:v>Februari 2019</c:v>
                </c:pt>
                <c:pt idx="14">
                  <c:v>Maret 2019</c:v>
                </c:pt>
                <c:pt idx="15">
                  <c:v>Apr-19</c:v>
                </c:pt>
                <c:pt idx="16">
                  <c:v>Mei 2019</c:v>
                </c:pt>
                <c:pt idx="17">
                  <c:v>Juni 2019</c:v>
                </c:pt>
                <c:pt idx="18">
                  <c:v>Juli 2019</c:v>
                </c:pt>
                <c:pt idx="19">
                  <c:v>Agustus 2019</c:v>
                </c:pt>
                <c:pt idx="20">
                  <c:v>Sep-19</c:v>
                </c:pt>
                <c:pt idx="21">
                  <c:v>Oktober 2019</c:v>
                </c:pt>
                <c:pt idx="22">
                  <c:v>Nov-19</c:v>
                </c:pt>
                <c:pt idx="23">
                  <c:v>Desember 2019</c:v>
                </c:pt>
                <c:pt idx="24">
                  <c:v>Januari 2020</c:v>
                </c:pt>
                <c:pt idx="25">
                  <c:v>Februari 2020</c:v>
                </c:pt>
                <c:pt idx="26">
                  <c:v>Maret 2020</c:v>
                </c:pt>
                <c:pt idx="27">
                  <c:v>Apr-20</c:v>
                </c:pt>
                <c:pt idx="28">
                  <c:v>Mei 2020</c:v>
                </c:pt>
                <c:pt idx="29">
                  <c:v>Juni 2020</c:v>
                </c:pt>
                <c:pt idx="30">
                  <c:v>Juli 2020</c:v>
                </c:pt>
                <c:pt idx="31">
                  <c:v>Agustus 2020</c:v>
                </c:pt>
                <c:pt idx="32">
                  <c:v>Sep-20</c:v>
                </c:pt>
                <c:pt idx="33">
                  <c:v>Oktober 2020</c:v>
                </c:pt>
                <c:pt idx="34">
                  <c:v>Nov-20</c:v>
                </c:pt>
                <c:pt idx="35">
                  <c:v>Desember 2020</c:v>
                </c:pt>
                <c:pt idx="36">
                  <c:v>Januari 2021</c:v>
                </c:pt>
                <c:pt idx="37">
                  <c:v>Februari 2021</c:v>
                </c:pt>
                <c:pt idx="38">
                  <c:v>Maret 2021</c:v>
                </c:pt>
                <c:pt idx="39">
                  <c:v>Apr-21</c:v>
                </c:pt>
                <c:pt idx="40">
                  <c:v>Mei 2021</c:v>
                </c:pt>
                <c:pt idx="41">
                  <c:v>Juni 2021</c:v>
                </c:pt>
                <c:pt idx="42">
                  <c:v>Juli 2021</c:v>
                </c:pt>
                <c:pt idx="43">
                  <c:v>Agustus 2021</c:v>
                </c:pt>
                <c:pt idx="44">
                  <c:v>Sep-21</c:v>
                </c:pt>
                <c:pt idx="45">
                  <c:v>Oktober 2021</c:v>
                </c:pt>
                <c:pt idx="46">
                  <c:v>Nov-21</c:v>
                </c:pt>
                <c:pt idx="47">
                  <c:v>Desember 2021</c:v>
                </c:pt>
                <c:pt idx="48">
                  <c:v>Januari 2022</c:v>
                </c:pt>
                <c:pt idx="49">
                  <c:v>Februari 2022</c:v>
                </c:pt>
                <c:pt idx="50">
                  <c:v>Maret 2022</c:v>
                </c:pt>
                <c:pt idx="51">
                  <c:v>Apr-22</c:v>
                </c:pt>
                <c:pt idx="52">
                  <c:v>Mei 2022</c:v>
                </c:pt>
                <c:pt idx="53">
                  <c:v>Juni 2022</c:v>
                </c:pt>
                <c:pt idx="54">
                  <c:v>Juli 2022</c:v>
                </c:pt>
                <c:pt idx="55">
                  <c:v>Agustus 2022</c:v>
                </c:pt>
                <c:pt idx="56">
                  <c:v>Sep-22</c:v>
                </c:pt>
                <c:pt idx="57">
                  <c:v>Oktober 2022</c:v>
                </c:pt>
                <c:pt idx="58">
                  <c:v>Nov-22</c:v>
                </c:pt>
                <c:pt idx="59">
                  <c:v>22-Dec</c:v>
                </c:pt>
              </c:strCache>
            </c:strRef>
          </c:cat>
          <c:val>
            <c:numRef>
              <c:f>Tembaga!$G$2:$G$62</c:f>
              <c:numCache>
                <c:formatCode>General</c:formatCode>
                <c:ptCount val="61"/>
                <c:pt idx="1">
                  <c:v>7065.18</c:v>
                </c:pt>
                <c:pt idx="2">
                  <c:v>6745.3466666666673</c:v>
                </c:pt>
                <c:pt idx="3">
                  <c:v>6745.3466666666673</c:v>
                </c:pt>
                <c:pt idx="4">
                  <c:v>6745.3466666666673</c:v>
                </c:pt>
                <c:pt idx="5">
                  <c:v>7065.18</c:v>
                </c:pt>
                <c:pt idx="6">
                  <c:v>7065.18</c:v>
                </c:pt>
                <c:pt idx="7">
                  <c:v>6745.3466666666673</c:v>
                </c:pt>
                <c:pt idx="8">
                  <c:v>6358.18</c:v>
                </c:pt>
                <c:pt idx="9">
                  <c:v>6062.3942857142856</c:v>
                </c:pt>
                <c:pt idx="10">
                  <c:v>6125.88</c:v>
                </c:pt>
                <c:pt idx="11">
                  <c:v>6062.3942857142856</c:v>
                </c:pt>
                <c:pt idx="12">
                  <c:v>6062.3942857142856</c:v>
                </c:pt>
                <c:pt idx="13">
                  <c:v>6062.3942857142856</c:v>
                </c:pt>
                <c:pt idx="14">
                  <c:v>6125.88</c:v>
                </c:pt>
                <c:pt idx="15">
                  <c:v>6125.88</c:v>
                </c:pt>
                <c:pt idx="16">
                  <c:v>6358.18</c:v>
                </c:pt>
                <c:pt idx="17">
                  <c:v>6358.18</c:v>
                </c:pt>
                <c:pt idx="18">
                  <c:v>6062.3942857142856</c:v>
                </c:pt>
                <c:pt idx="19">
                  <c:v>5762.2800000000007</c:v>
                </c:pt>
                <c:pt idx="20">
                  <c:v>6125.88</c:v>
                </c:pt>
                <c:pt idx="21">
                  <c:v>5762.2800000000007</c:v>
                </c:pt>
                <c:pt idx="22">
                  <c:v>5762.2800000000007</c:v>
                </c:pt>
                <c:pt idx="23">
                  <c:v>6004.68</c:v>
                </c:pt>
                <c:pt idx="24">
                  <c:v>5762.2800000000007</c:v>
                </c:pt>
                <c:pt idx="25">
                  <c:v>6125.88</c:v>
                </c:pt>
                <c:pt idx="26">
                  <c:v>6062.3942857142856</c:v>
                </c:pt>
                <c:pt idx="27">
                  <c:v>5762.2800000000007</c:v>
                </c:pt>
                <c:pt idx="28">
                  <c:v>4992.68</c:v>
                </c:pt>
                <c:pt idx="29">
                  <c:v>5196.68</c:v>
                </c:pt>
                <c:pt idx="30">
                  <c:v>5600.68</c:v>
                </c:pt>
                <c:pt idx="31">
                  <c:v>6004.68</c:v>
                </c:pt>
                <c:pt idx="32">
                  <c:v>6062.3942857142856</c:v>
                </c:pt>
                <c:pt idx="33">
                  <c:v>6358.18</c:v>
                </c:pt>
                <c:pt idx="34">
                  <c:v>6711.68</c:v>
                </c:pt>
                <c:pt idx="35">
                  <c:v>6711.68</c:v>
                </c:pt>
                <c:pt idx="36">
                  <c:v>7065.18</c:v>
                </c:pt>
                <c:pt idx="37">
                  <c:v>7923.68</c:v>
                </c:pt>
                <c:pt idx="38">
                  <c:v>6220.51</c:v>
                </c:pt>
                <c:pt idx="39">
                  <c:v>6220.51</c:v>
                </c:pt>
                <c:pt idx="40">
                  <c:v>9539.68</c:v>
                </c:pt>
                <c:pt idx="41">
                  <c:v>9539.68</c:v>
                </c:pt>
                <c:pt idx="42">
                  <c:v>10035.555</c:v>
                </c:pt>
                <c:pt idx="43">
                  <c:v>9708.0133333333342</c:v>
                </c:pt>
                <c:pt idx="44">
                  <c:v>9236.68</c:v>
                </c:pt>
                <c:pt idx="45">
                  <c:v>9236.68</c:v>
                </c:pt>
                <c:pt idx="46">
                  <c:v>9236.68</c:v>
                </c:pt>
                <c:pt idx="47">
                  <c:v>9236.68</c:v>
                </c:pt>
                <c:pt idx="48">
                  <c:v>9708.0133333333342</c:v>
                </c:pt>
                <c:pt idx="49">
                  <c:v>9640.68</c:v>
                </c:pt>
                <c:pt idx="50">
                  <c:v>9640.68</c:v>
                </c:pt>
                <c:pt idx="51">
                  <c:v>9708.0133333333342</c:v>
                </c:pt>
                <c:pt idx="52">
                  <c:v>10035.555</c:v>
                </c:pt>
                <c:pt idx="53">
                  <c:v>9640.68</c:v>
                </c:pt>
                <c:pt idx="54">
                  <c:v>9640.68</c:v>
                </c:pt>
                <c:pt idx="55">
                  <c:v>9236.68</c:v>
                </c:pt>
                <c:pt idx="56">
                  <c:v>6220.51</c:v>
                </c:pt>
                <c:pt idx="57">
                  <c:v>7721.68</c:v>
                </c:pt>
                <c:pt idx="58">
                  <c:v>7721.68</c:v>
                </c:pt>
                <c:pt idx="59">
                  <c:v>7923.68</c:v>
                </c:pt>
                <c:pt idx="60">
                  <c:v>7721.68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7-4ABF-98FC-E2839B744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7682320"/>
        <c:axId val="697681488"/>
      </c:lineChart>
      <c:catAx>
        <c:axId val="69768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681488"/>
        <c:crosses val="autoZero"/>
        <c:auto val="1"/>
        <c:lblAlgn val="ctr"/>
        <c:lblOffset val="100"/>
        <c:noMultiLvlLbl val="0"/>
      </c:catAx>
      <c:valAx>
        <c:axId val="69768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682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Prediksi</a:t>
            </a:r>
            <a:r>
              <a:rPr lang="en-US" baseline="0"/>
              <a:t> emas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Emas!$B$1</c:f>
              <c:strCache>
                <c:ptCount val="1"/>
                <c:pt idx="0">
                  <c:v>Emas sebagai mineral ikutan (USD/ounce)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Emas!$A$2:$A$61</c:f>
              <c:strCache>
                <c:ptCount val="60"/>
                <c:pt idx="0">
                  <c:v>Januari 2018</c:v>
                </c:pt>
                <c:pt idx="1">
                  <c:v>Februari 2018</c:v>
                </c:pt>
                <c:pt idx="2">
                  <c:v>Maret 2018</c:v>
                </c:pt>
                <c:pt idx="3">
                  <c:v>Apr-18</c:v>
                </c:pt>
                <c:pt idx="4">
                  <c:v>Mei 2018</c:v>
                </c:pt>
                <c:pt idx="5">
                  <c:v>Juni 2018</c:v>
                </c:pt>
                <c:pt idx="6">
                  <c:v>Juli 2018</c:v>
                </c:pt>
                <c:pt idx="7">
                  <c:v>Agustus 2018</c:v>
                </c:pt>
                <c:pt idx="8">
                  <c:v>Sep-18</c:v>
                </c:pt>
                <c:pt idx="9">
                  <c:v>Oktober 2018</c:v>
                </c:pt>
                <c:pt idx="10">
                  <c:v>Nov-18</c:v>
                </c:pt>
                <c:pt idx="11">
                  <c:v>Desember 2018</c:v>
                </c:pt>
                <c:pt idx="12">
                  <c:v>Januari 2019</c:v>
                </c:pt>
                <c:pt idx="13">
                  <c:v>Februari 2019</c:v>
                </c:pt>
                <c:pt idx="14">
                  <c:v>Maret 2019</c:v>
                </c:pt>
                <c:pt idx="15">
                  <c:v>Apr-19</c:v>
                </c:pt>
                <c:pt idx="16">
                  <c:v>Mei 2019</c:v>
                </c:pt>
                <c:pt idx="17">
                  <c:v>Juni 2019</c:v>
                </c:pt>
                <c:pt idx="18">
                  <c:v>Juli 2019</c:v>
                </c:pt>
                <c:pt idx="19">
                  <c:v>Agustus 2019</c:v>
                </c:pt>
                <c:pt idx="20">
                  <c:v>Sep-19</c:v>
                </c:pt>
                <c:pt idx="21">
                  <c:v>Oktober 2019</c:v>
                </c:pt>
                <c:pt idx="22">
                  <c:v>Nov-19</c:v>
                </c:pt>
                <c:pt idx="23">
                  <c:v>Desember 2019</c:v>
                </c:pt>
                <c:pt idx="24">
                  <c:v>Januari 2020</c:v>
                </c:pt>
                <c:pt idx="25">
                  <c:v>Februari 2020</c:v>
                </c:pt>
                <c:pt idx="26">
                  <c:v>Maret 2020</c:v>
                </c:pt>
                <c:pt idx="27">
                  <c:v>Apr-20</c:v>
                </c:pt>
                <c:pt idx="28">
                  <c:v>Mei 2020</c:v>
                </c:pt>
                <c:pt idx="29">
                  <c:v>Juni 2020</c:v>
                </c:pt>
                <c:pt idx="30">
                  <c:v>Juli 2020</c:v>
                </c:pt>
                <c:pt idx="31">
                  <c:v>Agustus 2020</c:v>
                </c:pt>
                <c:pt idx="32">
                  <c:v>Sep-20</c:v>
                </c:pt>
                <c:pt idx="33">
                  <c:v>Oktober 2020</c:v>
                </c:pt>
                <c:pt idx="34">
                  <c:v>Nov-20</c:v>
                </c:pt>
                <c:pt idx="35">
                  <c:v>Desember 2020</c:v>
                </c:pt>
                <c:pt idx="36">
                  <c:v>Januari 2021</c:v>
                </c:pt>
                <c:pt idx="37">
                  <c:v>Februari 2021</c:v>
                </c:pt>
                <c:pt idx="38">
                  <c:v>Maret 2021</c:v>
                </c:pt>
                <c:pt idx="39">
                  <c:v>Apr-21</c:v>
                </c:pt>
                <c:pt idx="40">
                  <c:v>Mei 2021</c:v>
                </c:pt>
                <c:pt idx="41">
                  <c:v>Juni 2021</c:v>
                </c:pt>
                <c:pt idx="42">
                  <c:v>Juli 2021</c:v>
                </c:pt>
                <c:pt idx="43">
                  <c:v>Agustus 2021</c:v>
                </c:pt>
                <c:pt idx="44">
                  <c:v>Sep-21</c:v>
                </c:pt>
                <c:pt idx="45">
                  <c:v>Oktober 2021</c:v>
                </c:pt>
                <c:pt idx="46">
                  <c:v>Nov-21</c:v>
                </c:pt>
                <c:pt idx="47">
                  <c:v>Desember 2021</c:v>
                </c:pt>
                <c:pt idx="48">
                  <c:v>Januari 2022</c:v>
                </c:pt>
                <c:pt idx="49">
                  <c:v>Februari 2022</c:v>
                </c:pt>
                <c:pt idx="50">
                  <c:v>Maret 2022</c:v>
                </c:pt>
                <c:pt idx="51">
                  <c:v>Apr-22</c:v>
                </c:pt>
                <c:pt idx="52">
                  <c:v>Mei 2022</c:v>
                </c:pt>
                <c:pt idx="53">
                  <c:v>Juni 2022</c:v>
                </c:pt>
                <c:pt idx="54">
                  <c:v>Juli 2022</c:v>
                </c:pt>
                <c:pt idx="55">
                  <c:v>Agustus 2022</c:v>
                </c:pt>
                <c:pt idx="56">
                  <c:v>Sep-22</c:v>
                </c:pt>
                <c:pt idx="57">
                  <c:v>Oktober 2022</c:v>
                </c:pt>
                <c:pt idx="58">
                  <c:v>Nov-22</c:v>
                </c:pt>
                <c:pt idx="59">
                  <c:v>22-Dec</c:v>
                </c:pt>
              </c:strCache>
            </c:strRef>
          </c:cat>
          <c:val>
            <c:numRef>
              <c:f>Emas!$B$2:$B$61</c:f>
              <c:numCache>
                <c:formatCode>0.00</c:formatCode>
                <c:ptCount val="60"/>
                <c:pt idx="0">
                  <c:v>1269.54</c:v>
                </c:pt>
                <c:pt idx="1">
                  <c:v>1309.96</c:v>
                </c:pt>
                <c:pt idx="2">
                  <c:v>1337.54</c:v>
                </c:pt>
                <c:pt idx="3">
                  <c:v>1323.17</c:v>
                </c:pt>
                <c:pt idx="4">
                  <c:v>1337.43</c:v>
                </c:pt>
                <c:pt idx="5">
                  <c:v>1312.51</c:v>
                </c:pt>
                <c:pt idx="6">
                  <c:v>1295.1500000000001</c:v>
                </c:pt>
                <c:pt idx="7">
                  <c:v>1251.46</c:v>
                </c:pt>
                <c:pt idx="8">
                  <c:v>1212.3699999999999</c:v>
                </c:pt>
                <c:pt idx="9">
                  <c:v>1198.5899999999999</c:v>
                </c:pt>
                <c:pt idx="10">
                  <c:v>1204.9100000000001</c:v>
                </c:pt>
                <c:pt idx="11">
                  <c:v>1223.05</c:v>
                </c:pt>
                <c:pt idx="12">
                  <c:v>1234.1500000000001</c:v>
                </c:pt>
                <c:pt idx="13">
                  <c:v>1282.29</c:v>
                </c:pt>
                <c:pt idx="14">
                  <c:v>1307.3599999999999</c:v>
                </c:pt>
                <c:pt idx="15">
                  <c:v>1308.02</c:v>
                </c:pt>
                <c:pt idx="16">
                  <c:v>1296.44</c:v>
                </c:pt>
                <c:pt idx="17">
                  <c:v>1283.69</c:v>
                </c:pt>
                <c:pt idx="18">
                  <c:v>1312.55</c:v>
                </c:pt>
                <c:pt idx="19">
                  <c:v>1406.29</c:v>
                </c:pt>
                <c:pt idx="20">
                  <c:v>1462.46</c:v>
                </c:pt>
                <c:pt idx="21">
                  <c:v>1515.23</c:v>
                </c:pt>
                <c:pt idx="22">
                  <c:v>1498.65</c:v>
                </c:pt>
                <c:pt idx="23">
                  <c:v>1484.03</c:v>
                </c:pt>
                <c:pt idx="24">
                  <c:v>1466.68</c:v>
                </c:pt>
                <c:pt idx="25">
                  <c:v>1536.14</c:v>
                </c:pt>
                <c:pt idx="26">
                  <c:v>1571.59</c:v>
                </c:pt>
                <c:pt idx="27">
                  <c:v>1609.19</c:v>
                </c:pt>
                <c:pt idx="28">
                  <c:v>1632.92</c:v>
                </c:pt>
                <c:pt idx="29">
                  <c:v>1708.91</c:v>
                </c:pt>
                <c:pt idx="30">
                  <c:v>1719.81</c:v>
                </c:pt>
                <c:pt idx="31">
                  <c:v>1784.74</c:v>
                </c:pt>
                <c:pt idx="32">
                  <c:v>1951.85</c:v>
                </c:pt>
                <c:pt idx="33">
                  <c:v>1941.15</c:v>
                </c:pt>
                <c:pt idx="34">
                  <c:v>1895.14</c:v>
                </c:pt>
                <c:pt idx="35">
                  <c:v>1891.82</c:v>
                </c:pt>
                <c:pt idx="36">
                  <c:v>1835.43</c:v>
                </c:pt>
                <c:pt idx="37">
                  <c:v>1876.42</c:v>
                </c:pt>
                <c:pt idx="38">
                  <c:v>1830.05</c:v>
                </c:pt>
                <c:pt idx="39">
                  <c:v>1734.7</c:v>
                </c:pt>
                <c:pt idx="40">
                  <c:v>1735.31</c:v>
                </c:pt>
                <c:pt idx="41">
                  <c:v>1809.73</c:v>
                </c:pt>
                <c:pt idx="42">
                  <c:v>1874.33</c:v>
                </c:pt>
                <c:pt idx="43">
                  <c:v>1794.84</c:v>
                </c:pt>
                <c:pt idx="44">
                  <c:v>1789.64</c:v>
                </c:pt>
                <c:pt idx="45">
                  <c:v>1795.32</c:v>
                </c:pt>
                <c:pt idx="46">
                  <c:v>1762.57</c:v>
                </c:pt>
                <c:pt idx="47">
                  <c:v>1817.52</c:v>
                </c:pt>
                <c:pt idx="48">
                  <c:v>1786.24</c:v>
                </c:pt>
                <c:pt idx="49">
                  <c:v>1807.53</c:v>
                </c:pt>
                <c:pt idx="50">
                  <c:v>1831.08</c:v>
                </c:pt>
                <c:pt idx="51">
                  <c:v>1940.31</c:v>
                </c:pt>
                <c:pt idx="52">
                  <c:v>1942.41</c:v>
                </c:pt>
                <c:pt idx="53">
                  <c:v>1873.14</c:v>
                </c:pt>
                <c:pt idx="54">
                  <c:v>1842.57</c:v>
                </c:pt>
                <c:pt idx="55">
                  <c:v>1778.12</c:v>
                </c:pt>
                <c:pt idx="56">
                  <c:v>1759.97</c:v>
                </c:pt>
                <c:pt idx="57">
                  <c:v>1716.37</c:v>
                </c:pt>
                <c:pt idx="58">
                  <c:v>1666.39</c:v>
                </c:pt>
                <c:pt idx="59">
                  <c:v>1690.86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E-4FC5-8C81-6C91BDEEAEBE}"/>
            </c:ext>
          </c:extLst>
        </c:ser>
        <c:ser>
          <c:idx val="1"/>
          <c:order val="1"/>
          <c:tx>
            <c:strRef>
              <c:f>Emas!$G$1</c:f>
              <c:strCache>
                <c:ptCount val="1"/>
                <c:pt idx="0">
                  <c:v>Ramalan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Emas!$A$2:$A$61</c:f>
              <c:strCache>
                <c:ptCount val="60"/>
                <c:pt idx="0">
                  <c:v>Januari 2018</c:v>
                </c:pt>
                <c:pt idx="1">
                  <c:v>Februari 2018</c:v>
                </c:pt>
                <c:pt idx="2">
                  <c:v>Maret 2018</c:v>
                </c:pt>
                <c:pt idx="3">
                  <c:v>Apr-18</c:v>
                </c:pt>
                <c:pt idx="4">
                  <c:v>Mei 2018</c:v>
                </c:pt>
                <c:pt idx="5">
                  <c:v>Juni 2018</c:v>
                </c:pt>
                <c:pt idx="6">
                  <c:v>Juli 2018</c:v>
                </c:pt>
                <c:pt idx="7">
                  <c:v>Agustus 2018</c:v>
                </c:pt>
                <c:pt idx="8">
                  <c:v>Sep-18</c:v>
                </c:pt>
                <c:pt idx="9">
                  <c:v>Oktober 2018</c:v>
                </c:pt>
                <c:pt idx="10">
                  <c:v>Nov-18</c:v>
                </c:pt>
                <c:pt idx="11">
                  <c:v>Desember 2018</c:v>
                </c:pt>
                <c:pt idx="12">
                  <c:v>Januari 2019</c:v>
                </c:pt>
                <c:pt idx="13">
                  <c:v>Februari 2019</c:v>
                </c:pt>
                <c:pt idx="14">
                  <c:v>Maret 2019</c:v>
                </c:pt>
                <c:pt idx="15">
                  <c:v>Apr-19</c:v>
                </c:pt>
                <c:pt idx="16">
                  <c:v>Mei 2019</c:v>
                </c:pt>
                <c:pt idx="17">
                  <c:v>Juni 2019</c:v>
                </c:pt>
                <c:pt idx="18">
                  <c:v>Juli 2019</c:v>
                </c:pt>
                <c:pt idx="19">
                  <c:v>Agustus 2019</c:v>
                </c:pt>
                <c:pt idx="20">
                  <c:v>Sep-19</c:v>
                </c:pt>
                <c:pt idx="21">
                  <c:v>Oktober 2019</c:v>
                </c:pt>
                <c:pt idx="22">
                  <c:v>Nov-19</c:v>
                </c:pt>
                <c:pt idx="23">
                  <c:v>Desember 2019</c:v>
                </c:pt>
                <c:pt idx="24">
                  <c:v>Januari 2020</c:v>
                </c:pt>
                <c:pt idx="25">
                  <c:v>Februari 2020</c:v>
                </c:pt>
                <c:pt idx="26">
                  <c:v>Maret 2020</c:v>
                </c:pt>
                <c:pt idx="27">
                  <c:v>Apr-20</c:v>
                </c:pt>
                <c:pt idx="28">
                  <c:v>Mei 2020</c:v>
                </c:pt>
                <c:pt idx="29">
                  <c:v>Juni 2020</c:v>
                </c:pt>
                <c:pt idx="30">
                  <c:v>Juli 2020</c:v>
                </c:pt>
                <c:pt idx="31">
                  <c:v>Agustus 2020</c:v>
                </c:pt>
                <c:pt idx="32">
                  <c:v>Sep-20</c:v>
                </c:pt>
                <c:pt idx="33">
                  <c:v>Oktober 2020</c:v>
                </c:pt>
                <c:pt idx="34">
                  <c:v>Nov-20</c:v>
                </c:pt>
                <c:pt idx="35">
                  <c:v>Desember 2020</c:v>
                </c:pt>
                <c:pt idx="36">
                  <c:v>Januari 2021</c:v>
                </c:pt>
                <c:pt idx="37">
                  <c:v>Februari 2021</c:v>
                </c:pt>
                <c:pt idx="38">
                  <c:v>Maret 2021</c:v>
                </c:pt>
                <c:pt idx="39">
                  <c:v>Apr-21</c:v>
                </c:pt>
                <c:pt idx="40">
                  <c:v>Mei 2021</c:v>
                </c:pt>
                <c:pt idx="41">
                  <c:v>Juni 2021</c:v>
                </c:pt>
                <c:pt idx="42">
                  <c:v>Juli 2021</c:v>
                </c:pt>
                <c:pt idx="43">
                  <c:v>Agustus 2021</c:v>
                </c:pt>
                <c:pt idx="44">
                  <c:v>Sep-21</c:v>
                </c:pt>
                <c:pt idx="45">
                  <c:v>Oktober 2021</c:v>
                </c:pt>
                <c:pt idx="46">
                  <c:v>Nov-21</c:v>
                </c:pt>
                <c:pt idx="47">
                  <c:v>Desember 2021</c:v>
                </c:pt>
                <c:pt idx="48">
                  <c:v>Januari 2022</c:v>
                </c:pt>
                <c:pt idx="49">
                  <c:v>Februari 2022</c:v>
                </c:pt>
                <c:pt idx="50">
                  <c:v>Maret 2022</c:v>
                </c:pt>
                <c:pt idx="51">
                  <c:v>Apr-22</c:v>
                </c:pt>
                <c:pt idx="52">
                  <c:v>Mei 2022</c:v>
                </c:pt>
                <c:pt idx="53">
                  <c:v>Juni 2022</c:v>
                </c:pt>
                <c:pt idx="54">
                  <c:v>Juli 2022</c:v>
                </c:pt>
                <c:pt idx="55">
                  <c:v>Agustus 2022</c:v>
                </c:pt>
                <c:pt idx="56">
                  <c:v>Sep-22</c:v>
                </c:pt>
                <c:pt idx="57">
                  <c:v>Oktober 2022</c:v>
                </c:pt>
                <c:pt idx="58">
                  <c:v>Nov-22</c:v>
                </c:pt>
                <c:pt idx="59">
                  <c:v>22-Dec</c:v>
                </c:pt>
              </c:strCache>
            </c:strRef>
          </c:cat>
          <c:val>
            <c:numRef>
              <c:f>Emas!$G$2:$G$62</c:f>
              <c:numCache>
                <c:formatCode>General</c:formatCode>
                <c:ptCount val="61"/>
                <c:pt idx="1">
                  <c:v>1294.0409999999999</c:v>
                </c:pt>
                <c:pt idx="2">
                  <c:v>1330.3410000000001</c:v>
                </c:pt>
                <c:pt idx="3">
                  <c:v>1313.8409999999999</c:v>
                </c:pt>
                <c:pt idx="4">
                  <c:v>1330.3410000000001</c:v>
                </c:pt>
                <c:pt idx="5">
                  <c:v>1313.8409999999999</c:v>
                </c:pt>
                <c:pt idx="6">
                  <c:v>1330.3410000000001</c:v>
                </c:pt>
                <c:pt idx="7">
                  <c:v>1294.0409999999999</c:v>
                </c:pt>
                <c:pt idx="8">
                  <c:v>1264.3409999999999</c:v>
                </c:pt>
                <c:pt idx="9">
                  <c:v>1223.1843749999998</c:v>
                </c:pt>
                <c:pt idx="10">
                  <c:v>1223.1843749999998</c:v>
                </c:pt>
                <c:pt idx="11">
                  <c:v>1223.1843749999998</c:v>
                </c:pt>
                <c:pt idx="12">
                  <c:v>1223.1843749999998</c:v>
                </c:pt>
                <c:pt idx="13">
                  <c:v>1264.3409999999999</c:v>
                </c:pt>
                <c:pt idx="14">
                  <c:v>1294.0409999999999</c:v>
                </c:pt>
                <c:pt idx="15">
                  <c:v>1330.3410000000001</c:v>
                </c:pt>
                <c:pt idx="16">
                  <c:v>1330.3410000000001</c:v>
                </c:pt>
                <c:pt idx="17">
                  <c:v>1294.0409999999999</c:v>
                </c:pt>
                <c:pt idx="18">
                  <c:v>1294.0409999999999</c:v>
                </c:pt>
                <c:pt idx="19">
                  <c:v>1330.3410000000001</c:v>
                </c:pt>
                <c:pt idx="20">
                  <c:v>1445.8409999999999</c:v>
                </c:pt>
                <c:pt idx="21">
                  <c:v>1511.8409999999999</c:v>
                </c:pt>
                <c:pt idx="22">
                  <c:v>1495.3409999999999</c:v>
                </c:pt>
                <c:pt idx="23">
                  <c:v>1495.3409999999999</c:v>
                </c:pt>
                <c:pt idx="24">
                  <c:v>1511.8409999999999</c:v>
                </c:pt>
                <c:pt idx="25">
                  <c:v>1511.8409999999999</c:v>
                </c:pt>
                <c:pt idx="26">
                  <c:v>1577.8409999999999</c:v>
                </c:pt>
                <c:pt idx="27">
                  <c:v>1610.8409999999999</c:v>
                </c:pt>
                <c:pt idx="28">
                  <c:v>1643.8409999999999</c:v>
                </c:pt>
                <c:pt idx="29">
                  <c:v>1709.8409999999999</c:v>
                </c:pt>
                <c:pt idx="30">
                  <c:v>1720.8409999999997</c:v>
                </c:pt>
                <c:pt idx="31">
                  <c:v>1720.8409999999997</c:v>
                </c:pt>
                <c:pt idx="32">
                  <c:v>1826.9137142857139</c:v>
                </c:pt>
                <c:pt idx="33">
                  <c:v>1914.7182499999999</c:v>
                </c:pt>
                <c:pt idx="34">
                  <c:v>1914.7182499999999</c:v>
                </c:pt>
                <c:pt idx="35">
                  <c:v>1874.8409999999999</c:v>
                </c:pt>
                <c:pt idx="36">
                  <c:v>1874.8409999999999</c:v>
                </c:pt>
                <c:pt idx="37">
                  <c:v>1841.1546249999997</c:v>
                </c:pt>
                <c:pt idx="38">
                  <c:v>1830.8409999999997</c:v>
                </c:pt>
                <c:pt idx="39">
                  <c:v>1841.1546249999997</c:v>
                </c:pt>
                <c:pt idx="40">
                  <c:v>1775.8409999999999</c:v>
                </c:pt>
                <c:pt idx="41">
                  <c:v>1775.8409999999999</c:v>
                </c:pt>
                <c:pt idx="42">
                  <c:v>1808.8409999999999</c:v>
                </c:pt>
                <c:pt idx="43">
                  <c:v>1830.8409999999997</c:v>
                </c:pt>
                <c:pt idx="44">
                  <c:v>1808.8409999999999</c:v>
                </c:pt>
                <c:pt idx="45">
                  <c:v>1826.9137142857139</c:v>
                </c:pt>
                <c:pt idx="46">
                  <c:v>1808.8409999999999</c:v>
                </c:pt>
                <c:pt idx="47">
                  <c:v>1826.9137142857139</c:v>
                </c:pt>
                <c:pt idx="48">
                  <c:v>1808.8409999999999</c:v>
                </c:pt>
                <c:pt idx="49">
                  <c:v>1826.9137142857139</c:v>
                </c:pt>
                <c:pt idx="50">
                  <c:v>1808.8409999999999</c:v>
                </c:pt>
                <c:pt idx="51">
                  <c:v>1841.1546249999997</c:v>
                </c:pt>
                <c:pt idx="52">
                  <c:v>1914.7182499999999</c:v>
                </c:pt>
                <c:pt idx="53">
                  <c:v>1914.7182499999999</c:v>
                </c:pt>
                <c:pt idx="54">
                  <c:v>1830.8409999999997</c:v>
                </c:pt>
                <c:pt idx="55">
                  <c:v>1841.1546249999997</c:v>
                </c:pt>
                <c:pt idx="56">
                  <c:v>1826.9137142857139</c:v>
                </c:pt>
                <c:pt idx="57">
                  <c:v>1826.9137142857139</c:v>
                </c:pt>
                <c:pt idx="58">
                  <c:v>1720.8409999999997</c:v>
                </c:pt>
                <c:pt idx="59" formatCode="0.00">
                  <c:v>1676.8409999999999</c:v>
                </c:pt>
                <c:pt idx="60">
                  <c:v>1676.8409999999999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E-4FC5-8C81-6C91BDEEA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7670672"/>
        <c:axId val="697654448"/>
      </c:lineChart>
      <c:catAx>
        <c:axId val="69767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654448"/>
        <c:crosses val="autoZero"/>
        <c:auto val="1"/>
        <c:lblAlgn val="ctr"/>
        <c:lblOffset val="100"/>
        <c:noMultiLvlLbl val="0"/>
      </c:catAx>
      <c:valAx>
        <c:axId val="69765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67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Prediksi</a:t>
            </a:r>
            <a:r>
              <a:rPr lang="en-US" baseline="0"/>
              <a:t> perak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Perak!$B$1</c:f>
              <c:strCache>
                <c:ptCount val="1"/>
                <c:pt idx="0">
                  <c:v>perak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Perak!$A$2:$A$61</c:f>
              <c:strCache>
                <c:ptCount val="60"/>
                <c:pt idx="0">
                  <c:v>Januari 2018</c:v>
                </c:pt>
                <c:pt idx="1">
                  <c:v>Februari 2018</c:v>
                </c:pt>
                <c:pt idx="2">
                  <c:v>Maret 2018</c:v>
                </c:pt>
                <c:pt idx="3">
                  <c:v>Apr-18</c:v>
                </c:pt>
                <c:pt idx="4">
                  <c:v>Mei 2018</c:v>
                </c:pt>
                <c:pt idx="5">
                  <c:v>Juni 2018</c:v>
                </c:pt>
                <c:pt idx="6">
                  <c:v>Juli 2018</c:v>
                </c:pt>
                <c:pt idx="7">
                  <c:v>Agustus 2018</c:v>
                </c:pt>
                <c:pt idx="8">
                  <c:v>Sep-18</c:v>
                </c:pt>
                <c:pt idx="9">
                  <c:v>Oktober 2018</c:v>
                </c:pt>
                <c:pt idx="10">
                  <c:v>Nov-18</c:v>
                </c:pt>
                <c:pt idx="11">
                  <c:v>Desember 2018</c:v>
                </c:pt>
                <c:pt idx="12">
                  <c:v>Januari 2019</c:v>
                </c:pt>
                <c:pt idx="13">
                  <c:v>Februari 2019</c:v>
                </c:pt>
                <c:pt idx="14">
                  <c:v>Maret 2019</c:v>
                </c:pt>
                <c:pt idx="15">
                  <c:v>Apr-19</c:v>
                </c:pt>
                <c:pt idx="16">
                  <c:v>Mei 2019</c:v>
                </c:pt>
                <c:pt idx="17">
                  <c:v>Juni 2019</c:v>
                </c:pt>
                <c:pt idx="18">
                  <c:v>Juli 2019</c:v>
                </c:pt>
                <c:pt idx="19">
                  <c:v>Agustus 2019</c:v>
                </c:pt>
                <c:pt idx="20">
                  <c:v>Sep-19</c:v>
                </c:pt>
                <c:pt idx="21">
                  <c:v>Oktober 2019</c:v>
                </c:pt>
                <c:pt idx="22">
                  <c:v>Nov-19</c:v>
                </c:pt>
                <c:pt idx="23">
                  <c:v>Desember 2019</c:v>
                </c:pt>
                <c:pt idx="24">
                  <c:v>Januari 2020</c:v>
                </c:pt>
                <c:pt idx="25">
                  <c:v>Februari 2020</c:v>
                </c:pt>
                <c:pt idx="26">
                  <c:v>Maret 2020</c:v>
                </c:pt>
                <c:pt idx="27">
                  <c:v>Apr-20</c:v>
                </c:pt>
                <c:pt idx="28">
                  <c:v>Mei 2020</c:v>
                </c:pt>
                <c:pt idx="29">
                  <c:v>Juni 2020</c:v>
                </c:pt>
                <c:pt idx="30">
                  <c:v>Juli 2020</c:v>
                </c:pt>
                <c:pt idx="31">
                  <c:v>Agustus 2020</c:v>
                </c:pt>
                <c:pt idx="32">
                  <c:v>Sep-20</c:v>
                </c:pt>
                <c:pt idx="33">
                  <c:v>Oktober 2020</c:v>
                </c:pt>
                <c:pt idx="34">
                  <c:v>Nov-20</c:v>
                </c:pt>
                <c:pt idx="35">
                  <c:v>Desember 2020</c:v>
                </c:pt>
                <c:pt idx="36">
                  <c:v>Januari 2021</c:v>
                </c:pt>
                <c:pt idx="37">
                  <c:v>Februari 2021</c:v>
                </c:pt>
                <c:pt idx="38">
                  <c:v>Maret 2021</c:v>
                </c:pt>
                <c:pt idx="39">
                  <c:v>Apr-21</c:v>
                </c:pt>
                <c:pt idx="40">
                  <c:v>Mei 2021</c:v>
                </c:pt>
                <c:pt idx="41">
                  <c:v>Juni 2021</c:v>
                </c:pt>
                <c:pt idx="42">
                  <c:v>Juli 2021</c:v>
                </c:pt>
                <c:pt idx="43">
                  <c:v>Agustus 2021</c:v>
                </c:pt>
                <c:pt idx="44">
                  <c:v>Sep-21</c:v>
                </c:pt>
                <c:pt idx="45">
                  <c:v>Oktober 2021</c:v>
                </c:pt>
                <c:pt idx="46">
                  <c:v>Nov-21</c:v>
                </c:pt>
                <c:pt idx="47">
                  <c:v>Desember 2021</c:v>
                </c:pt>
                <c:pt idx="48">
                  <c:v>Januari 2022</c:v>
                </c:pt>
                <c:pt idx="49">
                  <c:v>Februari 2022</c:v>
                </c:pt>
                <c:pt idx="50">
                  <c:v>Maret 2022</c:v>
                </c:pt>
                <c:pt idx="51">
                  <c:v>Apr-22</c:v>
                </c:pt>
                <c:pt idx="52">
                  <c:v>Mei 2022</c:v>
                </c:pt>
                <c:pt idx="53">
                  <c:v>Juni 2022</c:v>
                </c:pt>
                <c:pt idx="54">
                  <c:v>Juli 2022</c:v>
                </c:pt>
                <c:pt idx="55">
                  <c:v>Agustus 2022</c:v>
                </c:pt>
                <c:pt idx="56">
                  <c:v>Sep-22</c:v>
                </c:pt>
                <c:pt idx="57">
                  <c:v>Oktober 2022</c:v>
                </c:pt>
                <c:pt idx="58">
                  <c:v>Nov-22</c:v>
                </c:pt>
                <c:pt idx="59">
                  <c:v>22-Dec</c:v>
                </c:pt>
              </c:strCache>
            </c:strRef>
          </c:cat>
          <c:val>
            <c:numRef>
              <c:f>Perak!$B$2:$B$61</c:f>
              <c:numCache>
                <c:formatCode>0.00</c:formatCode>
                <c:ptCount val="60"/>
                <c:pt idx="0">
                  <c:v>16.420000000000002</c:v>
                </c:pt>
                <c:pt idx="1">
                  <c:v>16.920000000000002</c:v>
                </c:pt>
                <c:pt idx="2">
                  <c:v>16.920000000000002</c:v>
                </c:pt>
                <c:pt idx="3">
                  <c:v>16.510000000000002</c:v>
                </c:pt>
                <c:pt idx="4">
                  <c:v>16.52</c:v>
                </c:pt>
                <c:pt idx="5">
                  <c:v>16.53</c:v>
                </c:pt>
                <c:pt idx="6">
                  <c:v>16.62</c:v>
                </c:pt>
                <c:pt idx="7">
                  <c:v>15.99</c:v>
                </c:pt>
                <c:pt idx="8">
                  <c:v>15.3</c:v>
                </c:pt>
                <c:pt idx="9">
                  <c:v>14.43</c:v>
                </c:pt>
                <c:pt idx="10">
                  <c:v>14.49</c:v>
                </c:pt>
                <c:pt idx="11">
                  <c:v>14.48</c:v>
                </c:pt>
                <c:pt idx="12">
                  <c:v>14.46</c:v>
                </c:pt>
                <c:pt idx="13">
                  <c:v>15.41</c:v>
                </c:pt>
                <c:pt idx="14">
                  <c:v>15.68</c:v>
                </c:pt>
                <c:pt idx="15">
                  <c:v>15.5</c:v>
                </c:pt>
                <c:pt idx="16">
                  <c:v>15.19</c:v>
                </c:pt>
                <c:pt idx="17">
                  <c:v>14.82</c:v>
                </c:pt>
                <c:pt idx="18">
                  <c:v>14.67</c:v>
                </c:pt>
                <c:pt idx="19">
                  <c:v>15.35</c:v>
                </c:pt>
                <c:pt idx="20">
                  <c:v>16.690000000000001</c:v>
                </c:pt>
                <c:pt idx="21">
                  <c:v>18.02</c:v>
                </c:pt>
                <c:pt idx="22">
                  <c:v>17.68</c:v>
                </c:pt>
                <c:pt idx="23">
                  <c:v>17.489999999999998</c:v>
                </c:pt>
                <c:pt idx="24">
                  <c:v>16.940000000000001</c:v>
                </c:pt>
                <c:pt idx="25">
                  <c:v>17.91</c:v>
                </c:pt>
                <c:pt idx="26">
                  <c:v>17.809999999999999</c:v>
                </c:pt>
                <c:pt idx="27">
                  <c:v>16.48</c:v>
                </c:pt>
                <c:pt idx="28">
                  <c:v>14.4</c:v>
                </c:pt>
                <c:pt idx="29">
                  <c:v>15.42</c:v>
                </c:pt>
                <c:pt idx="30">
                  <c:v>17.559999999999999</c:v>
                </c:pt>
                <c:pt idx="31">
                  <c:v>18.34</c:v>
                </c:pt>
                <c:pt idx="32">
                  <c:v>25.08</c:v>
                </c:pt>
                <c:pt idx="33">
                  <c:v>27.05</c:v>
                </c:pt>
                <c:pt idx="34">
                  <c:v>24.02</c:v>
                </c:pt>
                <c:pt idx="35">
                  <c:v>24.36</c:v>
                </c:pt>
                <c:pt idx="36">
                  <c:v>24</c:v>
                </c:pt>
                <c:pt idx="37">
                  <c:v>26.03</c:v>
                </c:pt>
                <c:pt idx="38">
                  <c:v>26.72</c:v>
                </c:pt>
                <c:pt idx="39">
                  <c:v>26.37</c:v>
                </c:pt>
                <c:pt idx="40">
                  <c:v>25.14</c:v>
                </c:pt>
                <c:pt idx="41">
                  <c:v>26.78</c:v>
                </c:pt>
                <c:pt idx="42">
                  <c:v>27.62</c:v>
                </c:pt>
                <c:pt idx="43">
                  <c:v>26.08</c:v>
                </c:pt>
                <c:pt idx="44">
                  <c:v>24.59</c:v>
                </c:pt>
                <c:pt idx="45">
                  <c:v>23.83</c:v>
                </c:pt>
                <c:pt idx="46">
                  <c:v>22.68</c:v>
                </c:pt>
                <c:pt idx="47">
                  <c:v>24.35</c:v>
                </c:pt>
                <c:pt idx="48">
                  <c:v>22.77</c:v>
                </c:pt>
                <c:pt idx="49">
                  <c:v>22.81</c:v>
                </c:pt>
                <c:pt idx="50">
                  <c:v>23.27</c:v>
                </c:pt>
                <c:pt idx="51">
                  <c:v>25.05</c:v>
                </c:pt>
                <c:pt idx="52">
                  <c:v>24.99</c:v>
                </c:pt>
                <c:pt idx="53">
                  <c:v>22.66</c:v>
                </c:pt>
                <c:pt idx="54">
                  <c:v>21.83</c:v>
                </c:pt>
                <c:pt idx="55">
                  <c:v>20.010000000000002</c:v>
                </c:pt>
                <c:pt idx="56">
                  <c:v>19.73</c:v>
                </c:pt>
                <c:pt idx="57">
                  <c:v>18.79</c:v>
                </c:pt>
                <c:pt idx="58">
                  <c:v>19.3</c:v>
                </c:pt>
                <c:pt idx="59">
                  <c:v>20.190000000000001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7-4873-B861-DC4D23364BB6}"/>
            </c:ext>
          </c:extLst>
        </c:ser>
        <c:ser>
          <c:idx val="1"/>
          <c:order val="1"/>
          <c:tx>
            <c:strRef>
              <c:f>Perak!$G$1</c:f>
              <c:strCache>
                <c:ptCount val="1"/>
                <c:pt idx="0">
                  <c:v>Ramalan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Perak!$A$2:$A$61</c:f>
              <c:strCache>
                <c:ptCount val="60"/>
                <c:pt idx="0">
                  <c:v>Januari 2018</c:v>
                </c:pt>
                <c:pt idx="1">
                  <c:v>Februari 2018</c:v>
                </c:pt>
                <c:pt idx="2">
                  <c:v>Maret 2018</c:v>
                </c:pt>
                <c:pt idx="3">
                  <c:v>Apr-18</c:v>
                </c:pt>
                <c:pt idx="4">
                  <c:v>Mei 2018</c:v>
                </c:pt>
                <c:pt idx="5">
                  <c:v>Juni 2018</c:v>
                </c:pt>
                <c:pt idx="6">
                  <c:v>Juli 2018</c:v>
                </c:pt>
                <c:pt idx="7">
                  <c:v>Agustus 2018</c:v>
                </c:pt>
                <c:pt idx="8">
                  <c:v>Sep-18</c:v>
                </c:pt>
                <c:pt idx="9">
                  <c:v>Oktober 2018</c:v>
                </c:pt>
                <c:pt idx="10">
                  <c:v>Nov-18</c:v>
                </c:pt>
                <c:pt idx="11">
                  <c:v>Desember 2018</c:v>
                </c:pt>
                <c:pt idx="12">
                  <c:v>Januari 2019</c:v>
                </c:pt>
                <c:pt idx="13">
                  <c:v>Februari 2019</c:v>
                </c:pt>
                <c:pt idx="14">
                  <c:v>Maret 2019</c:v>
                </c:pt>
                <c:pt idx="15">
                  <c:v>Apr-19</c:v>
                </c:pt>
                <c:pt idx="16">
                  <c:v>Mei 2019</c:v>
                </c:pt>
                <c:pt idx="17">
                  <c:v>Juni 2019</c:v>
                </c:pt>
                <c:pt idx="18">
                  <c:v>Juli 2019</c:v>
                </c:pt>
                <c:pt idx="19">
                  <c:v>Agustus 2019</c:v>
                </c:pt>
                <c:pt idx="20">
                  <c:v>Sep-19</c:v>
                </c:pt>
                <c:pt idx="21">
                  <c:v>Oktober 2019</c:v>
                </c:pt>
                <c:pt idx="22">
                  <c:v>Nov-19</c:v>
                </c:pt>
                <c:pt idx="23">
                  <c:v>Desember 2019</c:v>
                </c:pt>
                <c:pt idx="24">
                  <c:v>Januari 2020</c:v>
                </c:pt>
                <c:pt idx="25">
                  <c:v>Februari 2020</c:v>
                </c:pt>
                <c:pt idx="26">
                  <c:v>Maret 2020</c:v>
                </c:pt>
                <c:pt idx="27">
                  <c:v>Apr-20</c:v>
                </c:pt>
                <c:pt idx="28">
                  <c:v>Mei 2020</c:v>
                </c:pt>
                <c:pt idx="29">
                  <c:v>Juni 2020</c:v>
                </c:pt>
                <c:pt idx="30">
                  <c:v>Juli 2020</c:v>
                </c:pt>
                <c:pt idx="31">
                  <c:v>Agustus 2020</c:v>
                </c:pt>
                <c:pt idx="32">
                  <c:v>Sep-20</c:v>
                </c:pt>
                <c:pt idx="33">
                  <c:v>Oktober 2020</c:v>
                </c:pt>
                <c:pt idx="34">
                  <c:v>Nov-20</c:v>
                </c:pt>
                <c:pt idx="35">
                  <c:v>Desember 2020</c:v>
                </c:pt>
                <c:pt idx="36">
                  <c:v>Januari 2021</c:v>
                </c:pt>
                <c:pt idx="37">
                  <c:v>Februari 2021</c:v>
                </c:pt>
                <c:pt idx="38">
                  <c:v>Maret 2021</c:v>
                </c:pt>
                <c:pt idx="39">
                  <c:v>Apr-21</c:v>
                </c:pt>
                <c:pt idx="40">
                  <c:v>Mei 2021</c:v>
                </c:pt>
                <c:pt idx="41">
                  <c:v>Juni 2021</c:v>
                </c:pt>
                <c:pt idx="42">
                  <c:v>Juli 2021</c:v>
                </c:pt>
                <c:pt idx="43">
                  <c:v>Agustus 2021</c:v>
                </c:pt>
                <c:pt idx="44">
                  <c:v>Sep-21</c:v>
                </c:pt>
                <c:pt idx="45">
                  <c:v>Oktober 2021</c:v>
                </c:pt>
                <c:pt idx="46">
                  <c:v>Nov-21</c:v>
                </c:pt>
                <c:pt idx="47">
                  <c:v>Desember 2021</c:v>
                </c:pt>
                <c:pt idx="48">
                  <c:v>Januari 2022</c:v>
                </c:pt>
                <c:pt idx="49">
                  <c:v>Februari 2022</c:v>
                </c:pt>
                <c:pt idx="50">
                  <c:v>Maret 2022</c:v>
                </c:pt>
                <c:pt idx="51">
                  <c:v>Apr-22</c:v>
                </c:pt>
                <c:pt idx="52">
                  <c:v>Mei 2022</c:v>
                </c:pt>
                <c:pt idx="53">
                  <c:v>Juni 2022</c:v>
                </c:pt>
                <c:pt idx="54">
                  <c:v>Juli 2022</c:v>
                </c:pt>
                <c:pt idx="55">
                  <c:v>Agustus 2022</c:v>
                </c:pt>
                <c:pt idx="56">
                  <c:v>Sep-22</c:v>
                </c:pt>
                <c:pt idx="57">
                  <c:v>Oktober 2022</c:v>
                </c:pt>
                <c:pt idx="58">
                  <c:v>Nov-22</c:v>
                </c:pt>
                <c:pt idx="59">
                  <c:v>22-Dec</c:v>
                </c:pt>
              </c:strCache>
            </c:strRef>
          </c:cat>
          <c:val>
            <c:numRef>
              <c:f>Perak!$G$2:$G$62</c:f>
              <c:numCache>
                <c:formatCode>0.000</c:formatCode>
                <c:ptCount val="61"/>
                <c:pt idx="1">
                  <c:v>16.343190476190479</c:v>
                </c:pt>
                <c:pt idx="2" formatCode="General">
                  <c:v>17.247</c:v>
                </c:pt>
                <c:pt idx="3" formatCode="General">
                  <c:v>17.247</c:v>
                </c:pt>
                <c:pt idx="4" formatCode="General">
                  <c:v>16.343190476190479</c:v>
                </c:pt>
                <c:pt idx="5" formatCode="General">
                  <c:v>16.343190476190479</c:v>
                </c:pt>
                <c:pt idx="6" formatCode="General">
                  <c:v>16.343190476190479</c:v>
                </c:pt>
                <c:pt idx="7" formatCode="General">
                  <c:v>16.343190476190479</c:v>
                </c:pt>
                <c:pt idx="8" formatCode="General">
                  <c:v>15.349</c:v>
                </c:pt>
                <c:pt idx="9" formatCode="General">
                  <c:v>15.876222222222223</c:v>
                </c:pt>
                <c:pt idx="10" formatCode="General">
                  <c:v>14.98747619047619</c:v>
                </c:pt>
                <c:pt idx="11" formatCode="General">
                  <c:v>14.98747619047619</c:v>
                </c:pt>
                <c:pt idx="12" formatCode="General">
                  <c:v>14.98747619047619</c:v>
                </c:pt>
                <c:pt idx="13" formatCode="General">
                  <c:v>14.98747619047619</c:v>
                </c:pt>
                <c:pt idx="14" formatCode="General">
                  <c:v>15.876222222222223</c:v>
                </c:pt>
                <c:pt idx="15" formatCode="General">
                  <c:v>15.349</c:v>
                </c:pt>
                <c:pt idx="16" formatCode="General">
                  <c:v>15.876222222222223</c:v>
                </c:pt>
                <c:pt idx="17" formatCode="General">
                  <c:v>15.876222222222223</c:v>
                </c:pt>
                <c:pt idx="18" formatCode="General">
                  <c:v>14.98747619047619</c:v>
                </c:pt>
                <c:pt idx="19" formatCode="General">
                  <c:v>14.98747619047619</c:v>
                </c:pt>
                <c:pt idx="20" formatCode="General">
                  <c:v>15.876222222222223</c:v>
                </c:pt>
                <c:pt idx="21" formatCode="General">
                  <c:v>16.343190476190479</c:v>
                </c:pt>
                <c:pt idx="22" formatCode="General">
                  <c:v>17.6266</c:v>
                </c:pt>
                <c:pt idx="23" formatCode="General">
                  <c:v>17.6266</c:v>
                </c:pt>
                <c:pt idx="24" formatCode="General">
                  <c:v>17.247</c:v>
                </c:pt>
                <c:pt idx="25" formatCode="General">
                  <c:v>17.247</c:v>
                </c:pt>
                <c:pt idx="26" formatCode="General">
                  <c:v>17.6266</c:v>
                </c:pt>
                <c:pt idx="27" formatCode="General">
                  <c:v>17.6266</c:v>
                </c:pt>
                <c:pt idx="28" formatCode="General">
                  <c:v>16.343190476190479</c:v>
                </c:pt>
                <c:pt idx="29" formatCode="General">
                  <c:v>14.98747619047619</c:v>
                </c:pt>
                <c:pt idx="30" formatCode="General">
                  <c:v>15.876222222222223</c:v>
                </c:pt>
                <c:pt idx="31" formatCode="General">
                  <c:v>17.6266</c:v>
                </c:pt>
                <c:pt idx="32" formatCode="General">
                  <c:v>21.99199999999999</c:v>
                </c:pt>
                <c:pt idx="33" formatCode="General">
                  <c:v>24.830749999999988</c:v>
                </c:pt>
                <c:pt idx="34" formatCode="General">
                  <c:v>25.155333333333317</c:v>
                </c:pt>
                <c:pt idx="35" formatCode="General">
                  <c:v>24.079799999999985</c:v>
                </c:pt>
                <c:pt idx="36" formatCode="General">
                  <c:v>24.079799999999985</c:v>
                </c:pt>
                <c:pt idx="37" formatCode="General">
                  <c:v>24.079799999999985</c:v>
                </c:pt>
                <c:pt idx="38" formatCode="General">
                  <c:v>25.787999999999982</c:v>
                </c:pt>
                <c:pt idx="39" formatCode="General">
                  <c:v>26.515111111111096</c:v>
                </c:pt>
                <c:pt idx="40" formatCode="General">
                  <c:v>26.515111111111096</c:v>
                </c:pt>
                <c:pt idx="41" formatCode="General">
                  <c:v>26.736999999999981</c:v>
                </c:pt>
                <c:pt idx="42" formatCode="General">
                  <c:v>26.515111111111096</c:v>
                </c:pt>
                <c:pt idx="43" formatCode="General">
                  <c:v>25.155333333333317</c:v>
                </c:pt>
                <c:pt idx="44" formatCode="General">
                  <c:v>25.787999999999982</c:v>
                </c:pt>
                <c:pt idx="45" formatCode="General">
                  <c:v>24.830749999999988</c:v>
                </c:pt>
                <c:pt idx="46" formatCode="General">
                  <c:v>24.079799999999985</c:v>
                </c:pt>
                <c:pt idx="47" formatCode="General">
                  <c:v>23.099166666666655</c:v>
                </c:pt>
                <c:pt idx="48" formatCode="General">
                  <c:v>24.079799999999985</c:v>
                </c:pt>
                <c:pt idx="49" formatCode="General">
                  <c:v>23.099166666666655</c:v>
                </c:pt>
                <c:pt idx="50" formatCode="General">
                  <c:v>23.099166666666655</c:v>
                </c:pt>
                <c:pt idx="51" formatCode="General">
                  <c:v>24.838999999999984</c:v>
                </c:pt>
                <c:pt idx="52" formatCode="General">
                  <c:v>24.830749999999988</c:v>
                </c:pt>
                <c:pt idx="53" formatCode="General">
                  <c:v>24.830749999999988</c:v>
                </c:pt>
                <c:pt idx="54" formatCode="General">
                  <c:v>23.099166666666655</c:v>
                </c:pt>
                <c:pt idx="55" formatCode="General">
                  <c:v>19.777666666666661</c:v>
                </c:pt>
                <c:pt idx="56" formatCode="General">
                  <c:v>19.144999999999996</c:v>
                </c:pt>
                <c:pt idx="57" formatCode="General">
                  <c:v>19.144999999999996</c:v>
                </c:pt>
                <c:pt idx="58" formatCode="General">
                  <c:v>21.99199999999999</c:v>
                </c:pt>
                <c:pt idx="59" formatCode="General">
                  <c:v>19.461333333333329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7-4873-B861-DC4D23364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6400032"/>
        <c:axId val="696400448"/>
      </c:lineChart>
      <c:catAx>
        <c:axId val="69640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400448"/>
        <c:crosses val="autoZero"/>
        <c:auto val="1"/>
        <c:lblAlgn val="ctr"/>
        <c:lblOffset val="100"/>
        <c:noMultiLvlLbl val="0"/>
      </c:catAx>
      <c:valAx>
        <c:axId val="69640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40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2</xdr:row>
      <xdr:rowOff>14287</xdr:rowOff>
    </xdr:from>
    <xdr:to>
      <xdr:col>16</xdr:col>
      <xdr:colOff>314325</xdr:colOff>
      <xdr:row>15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BC110A-BA32-6FD7-9510-D933DFFBC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4330</xdr:colOff>
      <xdr:row>0</xdr:row>
      <xdr:rowOff>195695</xdr:rowOff>
    </xdr:from>
    <xdr:to>
      <xdr:col>13</xdr:col>
      <xdr:colOff>393990</xdr:colOff>
      <xdr:row>14</xdr:row>
      <xdr:rowOff>150668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836795-DB08-EE99-938F-8C8019798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48</xdr:row>
      <xdr:rowOff>4762</xdr:rowOff>
    </xdr:from>
    <xdr:to>
      <xdr:col>15</xdr:col>
      <xdr:colOff>542925</xdr:colOff>
      <xdr:row>62</xdr:row>
      <xdr:rowOff>80962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2601B75-A271-868B-4305-8A4C9F995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32</xdr:row>
      <xdr:rowOff>185737</xdr:rowOff>
    </xdr:from>
    <xdr:to>
      <xdr:col>14</xdr:col>
      <xdr:colOff>676275</xdr:colOff>
      <xdr:row>47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C7C132-C224-91E4-B7B1-6173544F5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27</xdr:row>
      <xdr:rowOff>185737</xdr:rowOff>
    </xdr:from>
    <xdr:to>
      <xdr:col>15</xdr:col>
      <xdr:colOff>676275</xdr:colOff>
      <xdr:row>42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777046-BF2D-F2F5-D8EA-484B97DD1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6EFA8-2737-4E55-B497-57FEB76EE00D}">
  <dimension ref="A1:BX76"/>
  <sheetViews>
    <sheetView tabSelected="1" topLeftCell="A55" workbookViewId="0">
      <selection activeCell="I18" sqref="I18"/>
    </sheetView>
  </sheetViews>
  <sheetFormatPr defaultRowHeight="15" x14ac:dyDescent="0.25"/>
  <cols>
    <col min="1" max="1" width="12.28515625" customWidth="1"/>
    <col min="2" max="2" width="15.7109375" customWidth="1"/>
    <col min="3" max="3" width="11.5703125" customWidth="1"/>
  </cols>
  <sheetData>
    <row r="1" spans="1:76" ht="15.75" thickBot="1" x14ac:dyDescent="0.3">
      <c r="A1" t="s">
        <v>199</v>
      </c>
      <c r="B1" s="5" t="s">
        <v>198</v>
      </c>
      <c r="C1" s="5" t="s">
        <v>201</v>
      </c>
      <c r="D1" s="5" t="s">
        <v>81</v>
      </c>
      <c r="E1" s="5"/>
      <c r="F1" s="5" t="s">
        <v>212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</row>
    <row r="2" spans="1:76" ht="15.75" thickBot="1" x14ac:dyDescent="0.3">
      <c r="A2" s="6">
        <v>43101</v>
      </c>
      <c r="B2" s="5">
        <v>11304.55</v>
      </c>
      <c r="C2" t="str">
        <f t="shared" ref="C2:C33" si="0">VLOOKUP(B2,$L$7:$M$14,2,TRUE)</f>
        <v>A1</v>
      </c>
      <c r="E2" t="s">
        <v>74</v>
      </c>
      <c r="J2" t="s">
        <v>200</v>
      </c>
      <c r="K2">
        <f>B75</f>
        <v>35995.300000000003</v>
      </c>
    </row>
    <row r="3" spans="1:76" ht="15.75" thickBot="1" x14ac:dyDescent="0.3">
      <c r="A3" s="6">
        <v>43132</v>
      </c>
      <c r="B3" s="5">
        <v>12452.75</v>
      </c>
      <c r="C3" t="str">
        <f t="shared" si="0"/>
        <v>A1</v>
      </c>
      <c r="D3" t="s">
        <v>74</v>
      </c>
      <c r="E3" t="s">
        <v>74</v>
      </c>
      <c r="F3">
        <f t="shared" ref="F3:F34" si="1">VLOOKUP(D3,$P$7:$Q$13,2,FALSE)</f>
        <v>13009.775383201106</v>
      </c>
      <c r="G3">
        <f t="shared" ref="G3:G34" si="2">ABS((B3-F3)/B3)*100</f>
        <v>4.4731114268021583</v>
      </c>
      <c r="J3" t="s">
        <v>64</v>
      </c>
      <c r="K3">
        <f>B76</f>
        <v>10890.68</v>
      </c>
    </row>
    <row r="4" spans="1:76" ht="15.75" thickBot="1" x14ac:dyDescent="0.3">
      <c r="A4" s="6">
        <v>43160</v>
      </c>
      <c r="B4" s="5">
        <v>13444.52</v>
      </c>
      <c r="C4" t="str">
        <f t="shared" si="0"/>
        <v>A1</v>
      </c>
      <c r="D4" t="s">
        <v>74</v>
      </c>
      <c r="E4" t="s">
        <v>74</v>
      </c>
      <c r="F4">
        <f t="shared" si="1"/>
        <v>13009.775383201106</v>
      </c>
      <c r="G4">
        <f t="shared" si="2"/>
        <v>3.2336194732046559</v>
      </c>
      <c r="J4" t="s">
        <v>65</v>
      </c>
      <c r="K4">
        <f>1+3.3*(LOG(73))</f>
        <v>7.1489654383975045</v>
      </c>
      <c r="L4">
        <f>(K2-K3)/L5</f>
        <v>124.28029702970298</v>
      </c>
      <c r="M4">
        <f>(K2-K3)/M5</f>
        <v>121.86708737864079</v>
      </c>
    </row>
    <row r="5" spans="1:76" ht="15.75" thickBot="1" x14ac:dyDescent="0.3">
      <c r="A5" s="6">
        <v>43191</v>
      </c>
      <c r="B5" s="5">
        <v>13619.25</v>
      </c>
      <c r="C5" t="str">
        <f t="shared" si="0"/>
        <v>A1</v>
      </c>
      <c r="D5" t="s">
        <v>74</v>
      </c>
      <c r="E5" t="s">
        <v>74</v>
      </c>
      <c r="F5">
        <f t="shared" si="1"/>
        <v>13009.775383201106</v>
      </c>
      <c r="G5">
        <f t="shared" si="2"/>
        <v>4.4750967696377861</v>
      </c>
      <c r="J5" t="s">
        <v>66</v>
      </c>
      <c r="K5">
        <f>(K2-K3)/K4</f>
        <v>3511.6437778761169</v>
      </c>
      <c r="L5">
        <v>202</v>
      </c>
      <c r="M5">
        <f>206</f>
        <v>206</v>
      </c>
    </row>
    <row r="6" spans="1:76" ht="15.75" thickBot="1" x14ac:dyDescent="0.3">
      <c r="A6" s="6">
        <v>43221</v>
      </c>
      <c r="B6" s="5">
        <v>13584.76</v>
      </c>
      <c r="C6" t="str">
        <f t="shared" si="0"/>
        <v>A1</v>
      </c>
      <c r="D6" t="s">
        <v>74</v>
      </c>
      <c r="E6" t="s">
        <v>74</v>
      </c>
      <c r="F6">
        <f t="shared" si="1"/>
        <v>13009.775383201106</v>
      </c>
      <c r="G6">
        <f t="shared" si="2"/>
        <v>4.2325710340035041</v>
      </c>
      <c r="N6" t="s">
        <v>82</v>
      </c>
    </row>
    <row r="7" spans="1:76" ht="15.75" thickBot="1" x14ac:dyDescent="0.3">
      <c r="A7" s="6">
        <v>43252</v>
      </c>
      <c r="B7" s="5">
        <v>14102.75</v>
      </c>
      <c r="C7" t="str">
        <f t="shared" si="0"/>
        <v>A1</v>
      </c>
      <c r="D7" t="s">
        <v>74</v>
      </c>
      <c r="E7" t="s">
        <v>74</v>
      </c>
      <c r="F7">
        <f t="shared" si="1"/>
        <v>13009.775383201106</v>
      </c>
      <c r="G7">
        <f t="shared" si="2"/>
        <v>7.7500814862271135</v>
      </c>
      <c r="L7" s="1">
        <f>K3</f>
        <v>10890.68</v>
      </c>
      <c r="M7" t="s">
        <v>74</v>
      </c>
      <c r="N7" t="s">
        <v>74</v>
      </c>
      <c r="O7">
        <f t="shared" ref="O7:O13" si="3">(K8+L8)/2</f>
        <v>12646.501888938059</v>
      </c>
      <c r="P7" t="s">
        <v>74</v>
      </c>
      <c r="Q7">
        <f>(3*O8+26*O7)/29</f>
        <v>13009.775383201106</v>
      </c>
    </row>
    <row r="8" spans="1:76" ht="15.75" thickBot="1" x14ac:dyDescent="0.3">
      <c r="A8" s="6">
        <v>43282</v>
      </c>
      <c r="B8" s="5">
        <v>15067.86</v>
      </c>
      <c r="C8" t="str">
        <f t="shared" si="0"/>
        <v>A2</v>
      </c>
      <c r="D8" t="s">
        <v>74</v>
      </c>
      <c r="E8" t="s">
        <v>75</v>
      </c>
      <c r="F8">
        <f t="shared" si="1"/>
        <v>13009.775383201106</v>
      </c>
      <c r="G8">
        <f t="shared" si="2"/>
        <v>13.658771828241667</v>
      </c>
      <c r="J8" t="s">
        <v>67</v>
      </c>
      <c r="K8" s="1">
        <f>K3</f>
        <v>10890.68</v>
      </c>
      <c r="L8" s="1">
        <f>K8+$K$5</f>
        <v>14402.323777876118</v>
      </c>
      <c r="M8" t="s">
        <v>75</v>
      </c>
      <c r="N8" t="s">
        <v>75</v>
      </c>
      <c r="O8">
        <f t="shared" si="3"/>
        <v>16158.145666814176</v>
      </c>
      <c r="P8" t="s">
        <v>75</v>
      </c>
      <c r="Q8">
        <f>(2*O7+10*O8+2*O9)/14</f>
        <v>16158.145666814176</v>
      </c>
    </row>
    <row r="9" spans="1:76" ht="15.75" thickBot="1" x14ac:dyDescent="0.3">
      <c r="A9" s="6">
        <v>43313</v>
      </c>
      <c r="B9" s="5">
        <v>14246.82</v>
      </c>
      <c r="C9" t="str">
        <f t="shared" si="0"/>
        <v>A1</v>
      </c>
      <c r="D9" t="s">
        <v>75</v>
      </c>
      <c r="E9" t="s">
        <v>74</v>
      </c>
      <c r="F9">
        <f t="shared" si="1"/>
        <v>16158.145666814176</v>
      </c>
      <c r="G9">
        <f t="shared" si="2"/>
        <v>13.415805539862067</v>
      </c>
      <c r="J9" t="s">
        <v>68</v>
      </c>
      <c r="K9" s="1">
        <f>L8</f>
        <v>14402.323777876118</v>
      </c>
      <c r="L9" s="1">
        <f>K9+$K$5</f>
        <v>17913.967555752235</v>
      </c>
      <c r="M9" t="s">
        <v>76</v>
      </c>
      <c r="N9" t="s">
        <v>76</v>
      </c>
      <c r="O9">
        <f t="shared" si="3"/>
        <v>19669.789444690294</v>
      </c>
      <c r="P9" t="s">
        <v>76</v>
      </c>
      <c r="Q9">
        <f>(2*O8+10*O9+O10)/13</f>
        <v>19399.663000238284</v>
      </c>
    </row>
    <row r="10" spans="1:76" ht="15.75" thickBot="1" x14ac:dyDescent="0.3">
      <c r="A10" s="6">
        <v>43344</v>
      </c>
      <c r="B10" s="5">
        <v>13509.05</v>
      </c>
      <c r="C10" t="str">
        <f t="shared" si="0"/>
        <v>A1</v>
      </c>
      <c r="D10" t="s">
        <v>74</v>
      </c>
      <c r="E10" t="s">
        <v>74</v>
      </c>
      <c r="F10">
        <f t="shared" si="1"/>
        <v>13009.775383201106</v>
      </c>
      <c r="G10">
        <f t="shared" si="2"/>
        <v>3.695852904526177</v>
      </c>
      <c r="J10" t="s">
        <v>69</v>
      </c>
      <c r="K10" s="1">
        <f t="shared" ref="K10:K14" si="4">L9</f>
        <v>17913.967555752235</v>
      </c>
      <c r="L10" s="1">
        <f t="shared" ref="L10:L13" si="5">K10+$K$5</f>
        <v>21425.611333628352</v>
      </c>
      <c r="M10" t="s">
        <v>77</v>
      </c>
      <c r="N10" t="s">
        <v>77</v>
      </c>
      <c r="O10">
        <f t="shared" si="3"/>
        <v>23181.433222566411</v>
      </c>
      <c r="P10" t="s">
        <v>77</v>
      </c>
      <c r="Q10">
        <f>(O9+6*O10+O11+O13)/9</f>
        <v>24381.043012684404</v>
      </c>
    </row>
    <row r="11" spans="1:76" ht="15.75" thickBot="1" x14ac:dyDescent="0.3">
      <c r="A11" s="6">
        <v>43374</v>
      </c>
      <c r="B11" s="5">
        <v>12803.41</v>
      </c>
      <c r="C11" t="str">
        <f t="shared" si="0"/>
        <v>A1</v>
      </c>
      <c r="D11" t="s">
        <v>74</v>
      </c>
      <c r="E11" t="s">
        <v>74</v>
      </c>
      <c r="F11">
        <f t="shared" si="1"/>
        <v>13009.775383201106</v>
      </c>
      <c r="G11">
        <f t="shared" si="2"/>
        <v>1.611800162621567</v>
      </c>
      <c r="J11" t="s">
        <v>70</v>
      </c>
      <c r="K11" s="1">
        <f t="shared" si="4"/>
        <v>21425.611333628352</v>
      </c>
      <c r="L11" s="1">
        <f t="shared" si="5"/>
        <v>24937.25511150447</v>
      </c>
      <c r="M11" t="s">
        <v>78</v>
      </c>
      <c r="N11" t="s">
        <v>78</v>
      </c>
      <c r="O11">
        <f t="shared" si="3"/>
        <v>26693.077000442529</v>
      </c>
      <c r="P11" t="s">
        <v>78</v>
      </c>
      <c r="Q11">
        <f>(2*O10+2*O11)/4</f>
        <v>24937.25511150447</v>
      </c>
    </row>
    <row r="12" spans="1:76" ht="15.75" thickBot="1" x14ac:dyDescent="0.3">
      <c r="A12" s="6">
        <v>43405</v>
      </c>
      <c r="B12" s="5">
        <v>12578.64</v>
      </c>
      <c r="C12" t="str">
        <f t="shared" si="0"/>
        <v>A1</v>
      </c>
      <c r="D12" t="s">
        <v>74</v>
      </c>
      <c r="E12" t="s">
        <v>74</v>
      </c>
      <c r="F12">
        <f t="shared" si="1"/>
        <v>13009.775383201106</v>
      </c>
      <c r="G12">
        <f t="shared" si="2"/>
        <v>3.4275198527114727</v>
      </c>
      <c r="J12" t="s">
        <v>71</v>
      </c>
      <c r="K12" s="1">
        <f t="shared" si="4"/>
        <v>24937.25511150447</v>
      </c>
      <c r="L12" s="1">
        <f t="shared" si="5"/>
        <v>28448.898889380587</v>
      </c>
      <c r="M12" t="s">
        <v>79</v>
      </c>
      <c r="N12" t="s">
        <v>79</v>
      </c>
      <c r="O12">
        <f t="shared" si="3"/>
        <v>30204.720778318646</v>
      </c>
      <c r="P12" t="s">
        <v>79</v>
      </c>
      <c r="Q12">
        <f>O11</f>
        <v>26693.077000442529</v>
      </c>
    </row>
    <row r="13" spans="1:76" ht="15.75" thickBot="1" x14ac:dyDescent="0.3">
      <c r="A13" s="6">
        <v>43435</v>
      </c>
      <c r="B13" s="5">
        <v>11695</v>
      </c>
      <c r="C13" t="str">
        <f t="shared" si="0"/>
        <v>A1</v>
      </c>
      <c r="D13" t="s">
        <v>74</v>
      </c>
      <c r="E13" t="s">
        <v>74</v>
      </c>
      <c r="F13">
        <f t="shared" si="1"/>
        <v>13009.775383201106</v>
      </c>
      <c r="G13">
        <f t="shared" si="2"/>
        <v>11.242200796931217</v>
      </c>
      <c r="J13" t="s">
        <v>72</v>
      </c>
      <c r="K13" s="1">
        <f t="shared" si="4"/>
        <v>28448.898889380587</v>
      </c>
      <c r="L13" s="1">
        <f t="shared" si="5"/>
        <v>31960.542667256705</v>
      </c>
      <c r="M13" t="s">
        <v>80</v>
      </c>
      <c r="N13" t="s">
        <v>80</v>
      </c>
      <c r="O13">
        <f t="shared" si="3"/>
        <v>33977.921333628357</v>
      </c>
      <c r="P13" t="s">
        <v>80</v>
      </c>
      <c r="Q13">
        <f>(O12+O13)/2</f>
        <v>32091.321055973502</v>
      </c>
    </row>
    <row r="14" spans="1:76" ht="15.75" thickBot="1" x14ac:dyDescent="0.3">
      <c r="A14" s="6">
        <v>43466</v>
      </c>
      <c r="B14" s="5">
        <v>10890.68</v>
      </c>
      <c r="C14" t="str">
        <f t="shared" si="0"/>
        <v>A1</v>
      </c>
      <c r="D14" t="s">
        <v>74</v>
      </c>
      <c r="E14" t="s">
        <v>74</v>
      </c>
      <c r="F14">
        <f t="shared" si="1"/>
        <v>13009.775383201106</v>
      </c>
      <c r="G14">
        <f t="shared" si="2"/>
        <v>19.45787942719009</v>
      </c>
      <c r="J14" t="s">
        <v>73</v>
      </c>
      <c r="K14" s="1">
        <f t="shared" si="4"/>
        <v>31960.542667256705</v>
      </c>
      <c r="L14" s="1">
        <f>K2</f>
        <v>35995.300000000003</v>
      </c>
    </row>
    <row r="15" spans="1:76" ht="15.75" thickBot="1" x14ac:dyDescent="0.3">
      <c r="A15" s="6">
        <v>43497</v>
      </c>
      <c r="B15" s="5">
        <v>11046.05</v>
      </c>
      <c r="C15" t="str">
        <f t="shared" si="0"/>
        <v>A1</v>
      </c>
      <c r="D15" t="s">
        <v>74</v>
      </c>
      <c r="E15" t="s">
        <v>74</v>
      </c>
      <c r="F15">
        <f t="shared" si="1"/>
        <v>13009.775383201106</v>
      </c>
      <c r="G15">
        <f t="shared" si="2"/>
        <v>17.777625333952919</v>
      </c>
    </row>
    <row r="16" spans="1:76" ht="15.75" thickBot="1" x14ac:dyDescent="0.3">
      <c r="A16" s="6">
        <v>43525</v>
      </c>
      <c r="B16" s="5">
        <v>12249.32</v>
      </c>
      <c r="C16" t="str">
        <f t="shared" si="0"/>
        <v>A1</v>
      </c>
      <c r="D16" t="s">
        <v>74</v>
      </c>
      <c r="E16" t="s">
        <v>74</v>
      </c>
      <c r="F16">
        <f t="shared" si="1"/>
        <v>13009.775383201106</v>
      </c>
      <c r="G16">
        <f t="shared" si="2"/>
        <v>6.2081436618612793</v>
      </c>
    </row>
    <row r="17" spans="1:7" ht="15.75" thickBot="1" x14ac:dyDescent="0.3">
      <c r="A17" s="6">
        <v>43556</v>
      </c>
      <c r="B17" s="5">
        <v>13029.5</v>
      </c>
      <c r="C17" t="str">
        <f t="shared" si="0"/>
        <v>A1</v>
      </c>
      <c r="D17" t="s">
        <v>74</v>
      </c>
      <c r="E17" t="s">
        <v>74</v>
      </c>
      <c r="F17">
        <f t="shared" si="1"/>
        <v>13009.775383201106</v>
      </c>
      <c r="G17">
        <f t="shared" si="2"/>
        <v>0.15138429562833727</v>
      </c>
    </row>
    <row r="18" spans="1:7" ht="15.75" thickBot="1" x14ac:dyDescent="0.3">
      <c r="A18" s="6">
        <v>43586</v>
      </c>
      <c r="B18" s="5">
        <v>13000.91</v>
      </c>
      <c r="C18" t="str">
        <f t="shared" si="0"/>
        <v>A1</v>
      </c>
      <c r="D18" t="s">
        <v>74</v>
      </c>
      <c r="E18" t="s">
        <v>74</v>
      </c>
      <c r="F18">
        <f t="shared" si="1"/>
        <v>13009.775383201106</v>
      </c>
      <c r="G18">
        <f t="shared" si="2"/>
        <v>6.8190482059378471E-2</v>
      </c>
    </row>
    <row r="19" spans="1:7" ht="15.75" thickBot="1" x14ac:dyDescent="0.3">
      <c r="A19" s="6">
        <v>43617</v>
      </c>
      <c r="B19" s="5">
        <v>12100</v>
      </c>
      <c r="C19" t="str">
        <f t="shared" si="0"/>
        <v>A1</v>
      </c>
      <c r="D19" t="s">
        <v>74</v>
      </c>
      <c r="E19" t="s">
        <v>74</v>
      </c>
      <c r="F19">
        <f t="shared" si="1"/>
        <v>13009.775383201106</v>
      </c>
      <c r="G19">
        <f t="shared" si="2"/>
        <v>7.5188048198438491</v>
      </c>
    </row>
    <row r="20" spans="1:7" ht="15.75" thickBot="1" x14ac:dyDescent="0.3">
      <c r="A20" s="6">
        <v>43647</v>
      </c>
      <c r="B20" s="5">
        <v>11874.77</v>
      </c>
      <c r="C20" t="str">
        <f t="shared" si="0"/>
        <v>A1</v>
      </c>
      <c r="D20" t="s">
        <v>74</v>
      </c>
      <c r="E20" t="s">
        <v>74</v>
      </c>
      <c r="F20">
        <f t="shared" si="1"/>
        <v>13009.775383201106</v>
      </c>
      <c r="G20">
        <f t="shared" si="2"/>
        <v>9.5581251948551866</v>
      </c>
    </row>
    <row r="21" spans="1:7" ht="15.75" thickBot="1" x14ac:dyDescent="0.3">
      <c r="A21" s="6">
        <v>43678</v>
      </c>
      <c r="B21" s="5">
        <v>12832.73</v>
      </c>
      <c r="C21" t="str">
        <f t="shared" si="0"/>
        <v>A1</v>
      </c>
      <c r="D21" t="s">
        <v>74</v>
      </c>
      <c r="E21" t="s">
        <v>74</v>
      </c>
      <c r="F21">
        <f t="shared" si="1"/>
        <v>13009.775383201106</v>
      </c>
      <c r="G21">
        <f t="shared" si="2"/>
        <v>1.3796392755174172</v>
      </c>
    </row>
    <row r="22" spans="1:7" ht="15.75" thickBot="1" x14ac:dyDescent="0.3">
      <c r="A22" s="6">
        <v>43709</v>
      </c>
      <c r="B22" s="5">
        <v>14940</v>
      </c>
      <c r="C22" t="str">
        <f t="shared" si="0"/>
        <v>A2</v>
      </c>
      <c r="D22" t="s">
        <v>74</v>
      </c>
      <c r="E22" t="s">
        <v>75</v>
      </c>
      <c r="F22">
        <f t="shared" si="1"/>
        <v>13009.775383201106</v>
      </c>
      <c r="G22">
        <f t="shared" si="2"/>
        <v>12.919843485936374</v>
      </c>
    </row>
    <row r="23" spans="1:7" ht="15.75" thickBot="1" x14ac:dyDescent="0.3">
      <c r="A23" s="6">
        <v>43739</v>
      </c>
      <c r="B23" s="5">
        <v>17176.82</v>
      </c>
      <c r="C23" t="str">
        <f t="shared" si="0"/>
        <v>A2</v>
      </c>
      <c r="D23" t="s">
        <v>75</v>
      </c>
      <c r="E23" t="s">
        <v>75</v>
      </c>
      <c r="F23">
        <f t="shared" si="1"/>
        <v>16158.145666814176</v>
      </c>
      <c r="G23">
        <f t="shared" si="2"/>
        <v>5.9305175997991677</v>
      </c>
    </row>
    <row r="24" spans="1:7" ht="15.75" thickBot="1" x14ac:dyDescent="0.3">
      <c r="A24" s="6">
        <v>43770</v>
      </c>
      <c r="B24" s="5">
        <v>17456.43</v>
      </c>
      <c r="C24" t="str">
        <f t="shared" si="0"/>
        <v>A2</v>
      </c>
      <c r="D24" t="s">
        <v>75</v>
      </c>
      <c r="E24" t="s">
        <v>75</v>
      </c>
      <c r="F24">
        <f t="shared" si="1"/>
        <v>16158.145666814176</v>
      </c>
      <c r="G24">
        <f t="shared" si="2"/>
        <v>7.437284331251143</v>
      </c>
    </row>
    <row r="25" spans="1:7" ht="15.75" thickBot="1" x14ac:dyDescent="0.3">
      <c r="A25" s="6">
        <v>43800</v>
      </c>
      <c r="B25" s="5">
        <v>16107.27</v>
      </c>
      <c r="C25" t="str">
        <f t="shared" si="0"/>
        <v>A2</v>
      </c>
      <c r="D25" t="s">
        <v>75</v>
      </c>
      <c r="E25" t="s">
        <v>75</v>
      </c>
      <c r="F25">
        <f t="shared" si="1"/>
        <v>16158.145666814176</v>
      </c>
      <c r="G25">
        <f t="shared" si="2"/>
        <v>0.31585530517695382</v>
      </c>
    </row>
    <row r="26" spans="1:7" ht="15.75" thickBot="1" x14ac:dyDescent="0.3">
      <c r="A26" s="6">
        <v>43831</v>
      </c>
      <c r="B26" s="5">
        <v>13875.68</v>
      </c>
      <c r="C26" t="str">
        <f t="shared" si="0"/>
        <v>A1</v>
      </c>
      <c r="D26" t="s">
        <v>75</v>
      </c>
      <c r="E26" t="s">
        <v>74</v>
      </c>
      <c r="F26">
        <f t="shared" si="1"/>
        <v>16158.145666814176</v>
      </c>
      <c r="G26">
        <f t="shared" si="2"/>
        <v>16.449396835428434</v>
      </c>
    </row>
    <row r="27" spans="1:7" ht="15.75" thickBot="1" x14ac:dyDescent="0.3">
      <c r="A27" s="6">
        <v>43862</v>
      </c>
      <c r="B27" s="5">
        <v>14029.72</v>
      </c>
      <c r="C27" t="str">
        <f t="shared" si="0"/>
        <v>A1</v>
      </c>
      <c r="D27" t="s">
        <v>74</v>
      </c>
      <c r="E27" t="s">
        <v>74</v>
      </c>
      <c r="F27">
        <f t="shared" si="1"/>
        <v>13009.775383201106</v>
      </c>
      <c r="G27">
        <f t="shared" si="2"/>
        <v>7.2698857625019864</v>
      </c>
    </row>
    <row r="28" spans="1:7" ht="15.75" thickBot="1" x14ac:dyDescent="0.3">
      <c r="A28" s="6">
        <v>43891</v>
      </c>
      <c r="B28" s="5">
        <v>12994.57</v>
      </c>
      <c r="C28" t="str">
        <f t="shared" si="0"/>
        <v>A1</v>
      </c>
      <c r="D28" t="s">
        <v>74</v>
      </c>
      <c r="E28" t="s">
        <v>74</v>
      </c>
      <c r="F28">
        <f t="shared" si="1"/>
        <v>13009.775383201106</v>
      </c>
      <c r="G28">
        <f t="shared" si="2"/>
        <v>0.11701336174345198</v>
      </c>
    </row>
    <row r="29" spans="1:7" ht="15.75" thickBot="1" x14ac:dyDescent="0.3">
      <c r="A29" s="6">
        <v>43922</v>
      </c>
      <c r="B29" s="5">
        <v>12301.19</v>
      </c>
      <c r="C29" t="str">
        <f t="shared" si="0"/>
        <v>A1</v>
      </c>
      <c r="D29" t="s">
        <v>74</v>
      </c>
      <c r="E29" t="s">
        <v>74</v>
      </c>
      <c r="F29">
        <f t="shared" si="1"/>
        <v>13009.775383201106</v>
      </c>
      <c r="G29">
        <f t="shared" si="2"/>
        <v>5.7602994767262778</v>
      </c>
    </row>
    <row r="30" spans="1:7" ht="15.75" thickBot="1" x14ac:dyDescent="0.3">
      <c r="A30" s="6">
        <v>43952</v>
      </c>
      <c r="B30" s="5">
        <v>11347.68</v>
      </c>
      <c r="C30" t="str">
        <f t="shared" si="0"/>
        <v>A1</v>
      </c>
      <c r="D30" t="s">
        <v>74</v>
      </c>
      <c r="E30" t="s">
        <v>74</v>
      </c>
      <c r="F30">
        <f t="shared" si="1"/>
        <v>13009.775383201106</v>
      </c>
      <c r="G30">
        <f t="shared" si="2"/>
        <v>14.647006112272337</v>
      </c>
    </row>
    <row r="31" spans="1:7" ht="15.75" thickBot="1" x14ac:dyDescent="0.3">
      <c r="A31" s="6">
        <v>43983</v>
      </c>
      <c r="B31" s="5">
        <v>12085.1</v>
      </c>
      <c r="C31" t="str">
        <f t="shared" si="0"/>
        <v>A1</v>
      </c>
      <c r="D31" t="s">
        <v>74</v>
      </c>
      <c r="E31" t="s">
        <v>74</v>
      </c>
      <c r="F31">
        <f t="shared" si="1"/>
        <v>13009.775383201106</v>
      </c>
      <c r="G31">
        <f t="shared" si="2"/>
        <v>7.6513672472805796</v>
      </c>
    </row>
    <row r="32" spans="1:7" ht="15.75" thickBot="1" x14ac:dyDescent="0.3">
      <c r="A32" s="6">
        <v>44013</v>
      </c>
      <c r="B32" s="5">
        <v>12595.68</v>
      </c>
      <c r="C32" t="str">
        <f t="shared" si="0"/>
        <v>A1</v>
      </c>
      <c r="D32" t="s">
        <v>74</v>
      </c>
      <c r="E32" t="s">
        <v>74</v>
      </c>
      <c r="F32">
        <f t="shared" si="1"/>
        <v>13009.775383201106</v>
      </c>
      <c r="G32">
        <f t="shared" si="2"/>
        <v>3.2875984718657945</v>
      </c>
    </row>
    <row r="33" spans="1:7" ht="15.75" thickBot="1" x14ac:dyDescent="0.3">
      <c r="A33" s="6">
        <v>44044</v>
      </c>
      <c r="B33" s="5">
        <v>13004.6</v>
      </c>
      <c r="C33" t="str">
        <f t="shared" si="0"/>
        <v>A1</v>
      </c>
      <c r="D33" t="s">
        <v>74</v>
      </c>
      <c r="E33" t="s">
        <v>74</v>
      </c>
      <c r="F33">
        <f t="shared" si="1"/>
        <v>13009.775383201106</v>
      </c>
      <c r="G33">
        <f t="shared" si="2"/>
        <v>3.9796558149465824E-2</v>
      </c>
    </row>
    <row r="34" spans="1:7" ht="15.75" thickBot="1" x14ac:dyDescent="0.3">
      <c r="A34" s="6">
        <v>44075</v>
      </c>
      <c r="B34" s="5">
        <v>13921.87</v>
      </c>
      <c r="C34" t="str">
        <f t="shared" ref="C34:C52" si="6">VLOOKUP(B34,$L$7:$M$14,2,TRUE)</f>
        <v>A1</v>
      </c>
      <c r="D34" t="s">
        <v>74</v>
      </c>
      <c r="E34" t="s">
        <v>74</v>
      </c>
      <c r="F34">
        <f t="shared" si="1"/>
        <v>13009.775383201106</v>
      </c>
      <c r="G34">
        <f t="shared" si="2"/>
        <v>6.5515237306403158</v>
      </c>
    </row>
    <row r="35" spans="1:7" ht="15.75" thickBot="1" x14ac:dyDescent="0.3">
      <c r="A35" s="6">
        <v>44105</v>
      </c>
      <c r="B35" s="5">
        <v>15059.57</v>
      </c>
      <c r="C35" t="str">
        <f t="shared" si="6"/>
        <v>A2</v>
      </c>
      <c r="D35" t="s">
        <v>74</v>
      </c>
      <c r="E35" t="s">
        <v>75</v>
      </c>
      <c r="F35">
        <f t="shared" ref="F35:F66" si="7">VLOOKUP(D35,$P$7:$Q$13,2,FALSE)</f>
        <v>13009.775383201106</v>
      </c>
      <c r="G35">
        <f t="shared" ref="G35:G66" si="8">ABS((B35-F35)/B35)*100</f>
        <v>13.611242663627806</v>
      </c>
    </row>
    <row r="36" spans="1:7" ht="15.75" thickBot="1" x14ac:dyDescent="0.3">
      <c r="A36" s="6">
        <v>44136</v>
      </c>
      <c r="B36" s="5">
        <v>14732.1</v>
      </c>
      <c r="C36" t="str">
        <f t="shared" si="6"/>
        <v>A2</v>
      </c>
      <c r="D36" t="s">
        <v>75</v>
      </c>
      <c r="E36" t="s">
        <v>75</v>
      </c>
      <c r="F36">
        <f t="shared" si="7"/>
        <v>16158.145666814176</v>
      </c>
      <c r="G36">
        <f t="shared" si="8"/>
        <v>9.6798532918876194</v>
      </c>
    </row>
    <row r="37" spans="1:7" ht="15.75" thickBot="1" x14ac:dyDescent="0.3">
      <c r="A37" s="6">
        <v>44166</v>
      </c>
      <c r="B37" s="5">
        <v>15646.7</v>
      </c>
      <c r="C37" t="str">
        <f t="shared" si="6"/>
        <v>A2</v>
      </c>
      <c r="D37" t="s">
        <v>75</v>
      </c>
      <c r="E37" t="s">
        <v>75</v>
      </c>
      <c r="F37">
        <f t="shared" si="7"/>
        <v>16158.145666814176</v>
      </c>
      <c r="G37">
        <f t="shared" si="8"/>
        <v>3.2687126794415153</v>
      </c>
    </row>
    <row r="38" spans="1:7" ht="15.75" thickBot="1" x14ac:dyDescent="0.3">
      <c r="A38" s="6">
        <v>44197</v>
      </c>
      <c r="B38" s="5">
        <v>16541.57</v>
      </c>
      <c r="C38" t="str">
        <f t="shared" si="6"/>
        <v>A2</v>
      </c>
      <c r="D38" t="s">
        <v>75</v>
      </c>
      <c r="E38" t="s">
        <v>75</v>
      </c>
      <c r="F38">
        <f t="shared" si="7"/>
        <v>16158.145666814176</v>
      </c>
      <c r="G38">
        <f t="shared" si="8"/>
        <v>2.3179440233655169</v>
      </c>
    </row>
    <row r="39" spans="1:7" ht="15.75" thickBot="1" x14ac:dyDescent="0.3">
      <c r="A39" s="6">
        <v>44228</v>
      </c>
      <c r="B39" s="5">
        <v>17434.05</v>
      </c>
      <c r="C39" t="str">
        <f t="shared" si="6"/>
        <v>A2</v>
      </c>
      <c r="D39" t="s">
        <v>75</v>
      </c>
      <c r="E39" t="s">
        <v>75</v>
      </c>
      <c r="F39">
        <f t="shared" si="7"/>
        <v>16158.145666814176</v>
      </c>
      <c r="G39">
        <f t="shared" si="8"/>
        <v>7.3184620509051141</v>
      </c>
    </row>
    <row r="40" spans="1:7" ht="15.75" thickBot="1" x14ac:dyDescent="0.3">
      <c r="A40" s="6">
        <v>44256</v>
      </c>
      <c r="B40" s="5">
        <v>18210.39</v>
      </c>
      <c r="C40" t="str">
        <f t="shared" si="6"/>
        <v>A3</v>
      </c>
      <c r="D40" t="s">
        <v>75</v>
      </c>
      <c r="E40" t="s">
        <v>76</v>
      </c>
      <c r="F40">
        <f t="shared" si="7"/>
        <v>16158.145666814176</v>
      </c>
      <c r="G40">
        <f t="shared" si="8"/>
        <v>11.269634165912004</v>
      </c>
    </row>
    <row r="41" spans="1:7" ht="15.75" thickBot="1" x14ac:dyDescent="0.3">
      <c r="A41" s="6">
        <v>44287</v>
      </c>
      <c r="B41" s="5">
        <v>17251.599999999999</v>
      </c>
      <c r="C41" t="str">
        <f t="shared" si="6"/>
        <v>A2</v>
      </c>
      <c r="D41" t="s">
        <v>76</v>
      </c>
      <c r="E41" t="s">
        <v>75</v>
      </c>
      <c r="F41">
        <f t="shared" si="7"/>
        <v>19399.663000238284</v>
      </c>
      <c r="G41">
        <f t="shared" si="8"/>
        <v>12.45138422081596</v>
      </c>
    </row>
    <row r="42" spans="1:7" ht="15.75" thickBot="1" x14ac:dyDescent="0.3">
      <c r="A42" s="6">
        <v>44317</v>
      </c>
      <c r="B42" s="5">
        <v>16301.95</v>
      </c>
      <c r="C42" t="str">
        <f t="shared" si="6"/>
        <v>A2</v>
      </c>
      <c r="D42" t="s">
        <v>75</v>
      </c>
      <c r="E42" t="s">
        <v>75</v>
      </c>
      <c r="F42">
        <f t="shared" si="7"/>
        <v>16158.145666814176</v>
      </c>
      <c r="G42">
        <f t="shared" si="8"/>
        <v>0.88212964207241684</v>
      </c>
    </row>
    <row r="43" spans="1:7" ht="15.75" thickBot="1" x14ac:dyDescent="0.3">
      <c r="A43" s="6">
        <v>44348</v>
      </c>
      <c r="B43" s="5">
        <v>17322.48</v>
      </c>
      <c r="C43" t="str">
        <f t="shared" si="6"/>
        <v>A2</v>
      </c>
      <c r="D43" t="s">
        <v>75</v>
      </c>
      <c r="E43" t="s">
        <v>75</v>
      </c>
      <c r="F43">
        <f t="shared" si="7"/>
        <v>16158.145666814176</v>
      </c>
      <c r="G43">
        <f t="shared" si="8"/>
        <v>6.7215221676447205</v>
      </c>
    </row>
    <row r="44" spans="1:7" ht="15.75" thickBot="1" x14ac:dyDescent="0.3">
      <c r="A44" s="6">
        <v>44378</v>
      </c>
      <c r="B44" s="5">
        <v>17650.95</v>
      </c>
      <c r="C44" t="str">
        <f t="shared" si="6"/>
        <v>A2</v>
      </c>
      <c r="D44" t="s">
        <v>75</v>
      </c>
      <c r="E44" t="s">
        <v>75</v>
      </c>
      <c r="F44">
        <f t="shared" si="7"/>
        <v>16158.145666814176</v>
      </c>
      <c r="G44">
        <f t="shared" si="8"/>
        <v>8.4573597069042972</v>
      </c>
    </row>
    <row r="45" spans="1:7" ht="15.75" thickBot="1" x14ac:dyDescent="0.3">
      <c r="A45" s="6">
        <v>44409</v>
      </c>
      <c r="B45" s="5">
        <v>18356.86</v>
      </c>
      <c r="C45" t="str">
        <f t="shared" si="6"/>
        <v>A3</v>
      </c>
      <c r="D45" t="s">
        <v>75</v>
      </c>
      <c r="E45" t="s">
        <v>76</v>
      </c>
      <c r="F45">
        <f t="shared" si="7"/>
        <v>16158.145666814176</v>
      </c>
      <c r="G45">
        <f t="shared" si="8"/>
        <v>11.977616723044267</v>
      </c>
    </row>
    <row r="46" spans="1:7" ht="15.75" thickBot="1" x14ac:dyDescent="0.3">
      <c r="A46" s="6">
        <v>44440</v>
      </c>
      <c r="B46" s="5">
        <v>19239.259999999998</v>
      </c>
      <c r="C46" t="str">
        <f t="shared" si="6"/>
        <v>A3</v>
      </c>
      <c r="D46" t="s">
        <v>76</v>
      </c>
      <c r="E46" t="s">
        <v>76</v>
      </c>
      <c r="F46">
        <f t="shared" si="7"/>
        <v>19399.663000238284</v>
      </c>
      <c r="G46">
        <f t="shared" si="8"/>
        <v>0.83372749387599143</v>
      </c>
    </row>
    <row r="47" spans="1:7" ht="15.75" thickBot="1" x14ac:dyDescent="0.3">
      <c r="A47" s="6">
        <v>44470</v>
      </c>
      <c r="B47" s="5">
        <v>19499.7</v>
      </c>
      <c r="C47" t="str">
        <f t="shared" si="6"/>
        <v>A3</v>
      </c>
      <c r="D47" t="s">
        <v>76</v>
      </c>
      <c r="E47" t="s">
        <v>76</v>
      </c>
      <c r="F47">
        <f t="shared" si="7"/>
        <v>19399.663000238284</v>
      </c>
      <c r="G47">
        <f t="shared" si="8"/>
        <v>0.51301814777517751</v>
      </c>
    </row>
    <row r="48" spans="1:7" ht="15.75" thickBot="1" x14ac:dyDescent="0.3">
      <c r="A48" s="6">
        <v>44501</v>
      </c>
      <c r="B48" s="5">
        <v>18951.82</v>
      </c>
      <c r="C48" t="str">
        <f t="shared" si="6"/>
        <v>A3</v>
      </c>
      <c r="D48" t="s">
        <v>76</v>
      </c>
      <c r="E48" t="s">
        <v>76</v>
      </c>
      <c r="F48">
        <f t="shared" si="7"/>
        <v>19399.663000238284</v>
      </c>
      <c r="G48">
        <f t="shared" si="8"/>
        <v>2.3630606466201387</v>
      </c>
    </row>
    <row r="49" spans="1:7" ht="15.75" thickBot="1" x14ac:dyDescent="0.3">
      <c r="A49" s="6">
        <v>44531</v>
      </c>
      <c r="B49" s="5">
        <v>19829.349999999999</v>
      </c>
      <c r="C49" t="str">
        <f t="shared" si="6"/>
        <v>A3</v>
      </c>
      <c r="D49" t="s">
        <v>76</v>
      </c>
      <c r="E49" t="s">
        <v>76</v>
      </c>
      <c r="F49">
        <f t="shared" si="7"/>
        <v>19399.663000238284</v>
      </c>
      <c r="G49">
        <f t="shared" si="8"/>
        <v>2.16692428022963</v>
      </c>
    </row>
    <row r="50" spans="1:7" ht="15.75" thickBot="1" x14ac:dyDescent="0.3">
      <c r="A50" s="6">
        <v>44562</v>
      </c>
      <c r="B50" s="5">
        <v>20189.75</v>
      </c>
      <c r="C50" t="str">
        <f t="shared" si="6"/>
        <v>A3</v>
      </c>
      <c r="D50" t="s">
        <v>76</v>
      </c>
      <c r="E50" t="s">
        <v>76</v>
      </c>
      <c r="F50">
        <f t="shared" si="7"/>
        <v>19399.663000238284</v>
      </c>
      <c r="G50">
        <f t="shared" si="8"/>
        <v>3.9133074939596355</v>
      </c>
    </row>
    <row r="51" spans="1:7" ht="15.75" thickBot="1" x14ac:dyDescent="0.3">
      <c r="A51" s="6">
        <v>44593</v>
      </c>
      <c r="B51" s="5">
        <v>21113.75</v>
      </c>
      <c r="C51" t="str">
        <f t="shared" si="6"/>
        <v>A3</v>
      </c>
      <c r="D51" t="s">
        <v>76</v>
      </c>
      <c r="E51" t="s">
        <v>76</v>
      </c>
      <c r="F51">
        <f t="shared" si="7"/>
        <v>19399.663000238284</v>
      </c>
      <c r="G51">
        <f t="shared" si="8"/>
        <v>8.118344679470562</v>
      </c>
    </row>
    <row r="52" spans="1:7" ht="15.75" thickBot="1" x14ac:dyDescent="0.3">
      <c r="A52" s="6">
        <v>44621</v>
      </c>
      <c r="B52" s="5">
        <v>23537.05</v>
      </c>
      <c r="C52" t="str">
        <f t="shared" si="6"/>
        <v>A4</v>
      </c>
      <c r="D52" t="s">
        <v>76</v>
      </c>
      <c r="E52" t="s">
        <v>77</v>
      </c>
      <c r="F52">
        <f t="shared" si="7"/>
        <v>19399.663000238284</v>
      </c>
      <c r="G52">
        <f t="shared" si="8"/>
        <v>17.578188429568339</v>
      </c>
    </row>
    <row r="53" spans="1:7" ht="15.75" thickBot="1" x14ac:dyDescent="0.3">
      <c r="A53" s="6">
        <v>44652</v>
      </c>
      <c r="B53" s="5">
        <v>35995.300000000003</v>
      </c>
      <c r="C53" t="s">
        <v>80</v>
      </c>
      <c r="D53" t="s">
        <v>77</v>
      </c>
      <c r="E53" t="s">
        <v>80</v>
      </c>
      <c r="F53">
        <f t="shared" si="7"/>
        <v>24381.043012684404</v>
      </c>
      <c r="G53">
        <f t="shared" si="8"/>
        <v>32.266037475213707</v>
      </c>
    </row>
    <row r="54" spans="1:7" ht="15.75" thickBot="1" x14ac:dyDescent="0.3">
      <c r="A54" s="6">
        <v>44682</v>
      </c>
      <c r="B54" s="5">
        <v>33415.75</v>
      </c>
      <c r="C54" t="str">
        <f t="shared" ref="C54:C67" si="9">VLOOKUP(B54,$L$7:$M$14,2,TRUE)</f>
        <v>A7</v>
      </c>
      <c r="D54" t="s">
        <v>80</v>
      </c>
      <c r="E54" t="s">
        <v>80</v>
      </c>
      <c r="F54">
        <f t="shared" si="7"/>
        <v>32091.321055973502</v>
      </c>
      <c r="G54">
        <f t="shared" si="8"/>
        <v>3.963487110199527</v>
      </c>
    </row>
    <row r="55" spans="1:7" ht="15.75" thickBot="1" x14ac:dyDescent="0.3">
      <c r="A55" s="6">
        <v>44713</v>
      </c>
      <c r="B55" s="5">
        <v>30048.81</v>
      </c>
      <c r="C55" t="str">
        <f t="shared" si="9"/>
        <v>A6</v>
      </c>
      <c r="D55" t="s">
        <v>80</v>
      </c>
      <c r="E55" t="s">
        <v>79</v>
      </c>
      <c r="F55">
        <f t="shared" si="7"/>
        <v>32091.321055973502</v>
      </c>
      <c r="G55">
        <f t="shared" si="8"/>
        <v>6.7973109616437393</v>
      </c>
    </row>
    <row r="56" spans="1:7" ht="15.75" thickBot="1" x14ac:dyDescent="0.3">
      <c r="A56" s="6">
        <v>44743</v>
      </c>
      <c r="B56" s="5">
        <v>27414.47</v>
      </c>
      <c r="C56" t="str">
        <f t="shared" si="9"/>
        <v>A5</v>
      </c>
      <c r="D56" t="s">
        <v>79</v>
      </c>
      <c r="E56" t="s">
        <v>78</v>
      </c>
      <c r="F56">
        <f t="shared" si="7"/>
        <v>26693.077000442529</v>
      </c>
      <c r="G56">
        <f t="shared" si="8"/>
        <v>2.6314315015299314</v>
      </c>
    </row>
    <row r="57" spans="1:7" ht="15.75" thickBot="1" x14ac:dyDescent="0.3">
      <c r="A57" s="6">
        <v>44774</v>
      </c>
      <c r="B57" s="5">
        <v>22504.77</v>
      </c>
      <c r="C57" t="str">
        <f t="shared" si="9"/>
        <v>A4</v>
      </c>
      <c r="D57" t="s">
        <v>78</v>
      </c>
      <c r="E57" t="s">
        <v>77</v>
      </c>
      <c r="F57">
        <f t="shared" si="7"/>
        <v>24937.25511150447</v>
      </c>
      <c r="G57">
        <f t="shared" si="8"/>
        <v>10.808753484281196</v>
      </c>
    </row>
    <row r="58" spans="1:7" ht="15.75" thickBot="1" x14ac:dyDescent="0.3">
      <c r="A58" s="6">
        <v>44805</v>
      </c>
      <c r="B58" s="5">
        <v>22059.13</v>
      </c>
      <c r="C58" t="str">
        <f t="shared" si="9"/>
        <v>A4</v>
      </c>
      <c r="D58" t="s">
        <v>77</v>
      </c>
      <c r="E58" t="s">
        <v>77</v>
      </c>
      <c r="F58">
        <f t="shared" si="7"/>
        <v>24381.043012684404</v>
      </c>
      <c r="G58">
        <f t="shared" si="8"/>
        <v>10.525859418229109</v>
      </c>
    </row>
    <row r="59" spans="1:7" ht="15.75" thickBot="1" x14ac:dyDescent="0.3">
      <c r="A59" s="6">
        <v>44835</v>
      </c>
      <c r="B59" s="5">
        <v>22081.25</v>
      </c>
      <c r="C59" t="str">
        <f t="shared" si="9"/>
        <v>A4</v>
      </c>
      <c r="D59" t="s">
        <v>77</v>
      </c>
      <c r="E59" t="s">
        <v>77</v>
      </c>
      <c r="F59">
        <f t="shared" si="7"/>
        <v>24381.043012684404</v>
      </c>
      <c r="G59">
        <f t="shared" si="8"/>
        <v>10.415139598910406</v>
      </c>
    </row>
    <row r="60" spans="1:7" ht="15.75" thickBot="1" x14ac:dyDescent="0.3">
      <c r="A60" s="6">
        <v>44866</v>
      </c>
      <c r="B60" s="5">
        <v>22374.77</v>
      </c>
      <c r="C60" t="str">
        <f t="shared" si="9"/>
        <v>A4</v>
      </c>
      <c r="D60" t="s">
        <v>77</v>
      </c>
      <c r="E60" t="s">
        <v>77</v>
      </c>
      <c r="F60">
        <f t="shared" si="7"/>
        <v>24381.043012684404</v>
      </c>
      <c r="G60">
        <f t="shared" si="8"/>
        <v>8.9666754683261694</v>
      </c>
    </row>
    <row r="61" spans="1:7" ht="15.75" thickBot="1" x14ac:dyDescent="0.3">
      <c r="A61" s="6">
        <v>44896</v>
      </c>
      <c r="B61" s="5">
        <v>23907.73</v>
      </c>
      <c r="C61" t="str">
        <f t="shared" si="9"/>
        <v>A4</v>
      </c>
      <c r="D61" t="s">
        <v>77</v>
      </c>
      <c r="E61" t="s">
        <v>77</v>
      </c>
      <c r="F61">
        <f t="shared" si="7"/>
        <v>24381.043012684404</v>
      </c>
      <c r="G61">
        <f t="shared" si="8"/>
        <v>1.9797488623319921</v>
      </c>
    </row>
    <row r="62" spans="1:7" ht="15.75" thickBot="1" x14ac:dyDescent="0.3">
      <c r="A62" s="6">
        <v>44927</v>
      </c>
      <c r="B62" s="5">
        <v>27482.62</v>
      </c>
      <c r="C62" t="str">
        <f t="shared" si="9"/>
        <v>A5</v>
      </c>
      <c r="D62" t="s">
        <v>77</v>
      </c>
      <c r="E62" t="s">
        <v>78</v>
      </c>
      <c r="F62">
        <f t="shared" si="7"/>
        <v>24381.043012684404</v>
      </c>
      <c r="G62">
        <f t="shared" si="8"/>
        <v>11.285594267633854</v>
      </c>
    </row>
    <row r="63" spans="1:7" ht="15.75" thickBot="1" x14ac:dyDescent="0.3">
      <c r="A63" s="6">
        <v>44958</v>
      </c>
      <c r="B63" s="5">
        <v>28444.5</v>
      </c>
      <c r="C63" t="str">
        <f t="shared" si="9"/>
        <v>A5</v>
      </c>
      <c r="D63" t="s">
        <v>78</v>
      </c>
      <c r="E63" t="s">
        <v>78</v>
      </c>
      <c r="F63">
        <f t="shared" si="7"/>
        <v>24937.25511150447</v>
      </c>
      <c r="G63">
        <f t="shared" si="8"/>
        <v>12.330133728824659</v>
      </c>
    </row>
    <row r="64" spans="1:7" ht="15.75" thickBot="1" x14ac:dyDescent="0.3">
      <c r="A64" s="6">
        <v>44986</v>
      </c>
      <c r="B64" s="5">
        <v>27860</v>
      </c>
      <c r="C64" t="str">
        <f t="shared" si="9"/>
        <v>A5</v>
      </c>
      <c r="D64" t="s">
        <v>78</v>
      </c>
      <c r="E64" t="s">
        <v>78</v>
      </c>
      <c r="F64">
        <f t="shared" si="7"/>
        <v>24937.25511150447</v>
      </c>
      <c r="G64">
        <f t="shared" si="8"/>
        <v>10.490828745497236</v>
      </c>
    </row>
    <row r="65" spans="1:7" ht="15.75" thickBot="1" x14ac:dyDescent="0.3">
      <c r="A65" s="6">
        <v>45017</v>
      </c>
      <c r="B65" s="5">
        <v>24227</v>
      </c>
      <c r="C65" t="str">
        <f t="shared" si="9"/>
        <v>A4</v>
      </c>
      <c r="D65" t="s">
        <v>78</v>
      </c>
      <c r="E65" t="s">
        <v>77</v>
      </c>
      <c r="F65">
        <f t="shared" si="7"/>
        <v>24937.25511150447</v>
      </c>
      <c r="G65">
        <f t="shared" si="8"/>
        <v>2.9316676084718281</v>
      </c>
    </row>
    <row r="66" spans="1:7" ht="15.75" thickBot="1" x14ac:dyDescent="0.3">
      <c r="A66" s="6">
        <v>45047</v>
      </c>
      <c r="B66" s="5">
        <v>23278.57</v>
      </c>
      <c r="C66" t="str">
        <f t="shared" si="9"/>
        <v>A4</v>
      </c>
      <c r="D66" t="s">
        <v>77</v>
      </c>
      <c r="E66" t="s">
        <v>77</v>
      </c>
      <c r="F66">
        <f t="shared" si="7"/>
        <v>24381.043012684404</v>
      </c>
      <c r="G66">
        <f t="shared" si="8"/>
        <v>4.7359997314457214</v>
      </c>
    </row>
    <row r="67" spans="1:7" ht="15.75" thickBot="1" x14ac:dyDescent="0.3">
      <c r="A67" s="6">
        <v>45078</v>
      </c>
      <c r="B67" s="5">
        <v>23317</v>
      </c>
      <c r="C67" t="str">
        <f t="shared" si="9"/>
        <v>A4</v>
      </c>
      <c r="D67" t="s">
        <v>77</v>
      </c>
      <c r="E67" t="s">
        <v>77</v>
      </c>
      <c r="F67">
        <f t="shared" ref="F67:F75" si="10">VLOOKUP(D67,$P$7:$Q$13,2,FALSE)</f>
        <v>24381.043012684404</v>
      </c>
      <c r="G67">
        <f t="shared" ref="G67:G74" si="11">ABS((B67-F67)/B67)*100</f>
        <v>4.5633787051696357</v>
      </c>
    </row>
    <row r="68" spans="1:7" ht="15.75" thickBot="1" x14ac:dyDescent="0.3">
      <c r="A68" s="6">
        <v>45108</v>
      </c>
      <c r="B68" s="5">
        <v>21376.75</v>
      </c>
      <c r="C68" t="s">
        <v>80</v>
      </c>
      <c r="D68" t="s">
        <v>77</v>
      </c>
      <c r="E68" t="s">
        <v>80</v>
      </c>
      <c r="F68">
        <f t="shared" si="10"/>
        <v>24381.043012684404</v>
      </c>
      <c r="G68">
        <f t="shared" si="11"/>
        <v>14.054021367534371</v>
      </c>
    </row>
    <row r="69" spans="1:7" ht="15.75" thickBot="1" x14ac:dyDescent="0.3">
      <c r="A69" s="6">
        <v>45139</v>
      </c>
      <c r="B69" s="5">
        <v>20663.86</v>
      </c>
      <c r="C69" t="str">
        <f t="shared" ref="C69:C74" si="12">VLOOKUP(B69,$L$7:$M$14,2,TRUE)</f>
        <v>A3</v>
      </c>
      <c r="D69" t="s">
        <v>80</v>
      </c>
      <c r="E69" t="s">
        <v>76</v>
      </c>
      <c r="F69">
        <f t="shared" si="10"/>
        <v>32091.321055973502</v>
      </c>
      <c r="G69">
        <f t="shared" si="11"/>
        <v>55.30167672435595</v>
      </c>
    </row>
    <row r="70" spans="1:7" ht="15.75" thickBot="1" x14ac:dyDescent="0.3">
      <c r="A70" s="6">
        <v>45170</v>
      </c>
      <c r="B70" s="5">
        <v>20827.73</v>
      </c>
      <c r="C70" t="str">
        <f t="shared" si="12"/>
        <v>A3</v>
      </c>
      <c r="D70" t="s">
        <v>76</v>
      </c>
      <c r="E70" t="s">
        <v>76</v>
      </c>
      <c r="F70">
        <f t="shared" si="10"/>
        <v>19399.663000238284</v>
      </c>
      <c r="G70">
        <f t="shared" si="11"/>
        <v>6.8565657407778726</v>
      </c>
    </row>
    <row r="71" spans="1:7" ht="15.75" thickBot="1" x14ac:dyDescent="0.3">
      <c r="A71" s="6">
        <v>45200</v>
      </c>
      <c r="B71" s="5">
        <v>20190</v>
      </c>
      <c r="C71" t="str">
        <f t="shared" si="12"/>
        <v>A3</v>
      </c>
      <c r="D71" t="s">
        <v>76</v>
      </c>
      <c r="E71" t="s">
        <v>76</v>
      </c>
      <c r="F71">
        <f t="shared" si="10"/>
        <v>19399.663000238284</v>
      </c>
      <c r="G71">
        <f t="shared" si="11"/>
        <v>3.9144972746989382</v>
      </c>
    </row>
    <row r="72" spans="1:7" ht="15.75" thickBot="1" x14ac:dyDescent="0.3">
      <c r="A72" s="6">
        <v>45231</v>
      </c>
      <c r="B72" s="5">
        <v>18563.64</v>
      </c>
      <c r="C72" t="str">
        <f t="shared" si="12"/>
        <v>A3</v>
      </c>
      <c r="D72" t="s">
        <v>76</v>
      </c>
      <c r="E72" t="s">
        <v>76</v>
      </c>
      <c r="F72">
        <f t="shared" si="10"/>
        <v>19399.663000238284</v>
      </c>
      <c r="G72">
        <f t="shared" si="11"/>
        <v>4.5035510289915397</v>
      </c>
    </row>
    <row r="73" spans="1:7" ht="15.75" thickBot="1" x14ac:dyDescent="0.3">
      <c r="A73" s="6">
        <v>45261</v>
      </c>
      <c r="B73" s="5">
        <v>17653.330000000002</v>
      </c>
      <c r="C73" t="str">
        <f t="shared" si="12"/>
        <v>A2</v>
      </c>
      <c r="D73" t="s">
        <v>76</v>
      </c>
      <c r="E73" t="s">
        <v>75</v>
      </c>
      <c r="F73">
        <f t="shared" si="10"/>
        <v>19399.663000238284</v>
      </c>
      <c r="G73">
        <f t="shared" si="11"/>
        <v>9.8923715822356613</v>
      </c>
    </row>
    <row r="74" spans="1:7" ht="15.75" thickBot="1" x14ac:dyDescent="0.3">
      <c r="A74" s="6">
        <v>45292</v>
      </c>
      <c r="B74" s="5">
        <v>16368.86</v>
      </c>
      <c r="C74" t="str">
        <f t="shared" si="12"/>
        <v>A2</v>
      </c>
      <c r="D74" t="s">
        <v>75</v>
      </c>
      <c r="E74" t="s">
        <v>75</v>
      </c>
      <c r="F74">
        <f t="shared" si="10"/>
        <v>16158.145666814176</v>
      </c>
      <c r="G74">
        <f t="shared" si="11"/>
        <v>1.2872877719390612</v>
      </c>
    </row>
    <row r="75" spans="1:7" x14ac:dyDescent="0.25">
      <c r="A75" t="s">
        <v>63</v>
      </c>
      <c r="B75">
        <f>MAX(B2:B74)</f>
        <v>35995.300000000003</v>
      </c>
      <c r="D75" t="s">
        <v>75</v>
      </c>
      <c r="F75">
        <f t="shared" si="10"/>
        <v>16158.145666814176</v>
      </c>
      <c r="G75">
        <f>AVERAGE(G3:G74)</f>
        <v>7.9952508709696239</v>
      </c>
    </row>
    <row r="76" spans="1:7" x14ac:dyDescent="0.25">
      <c r="A76" t="s">
        <v>64</v>
      </c>
      <c r="B76">
        <f>MIN(B3:B75)</f>
        <v>10890.68</v>
      </c>
    </row>
  </sheetData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82B56-D0AF-4129-B6C1-BFB6D8FB717F}">
  <dimension ref="A1:B74"/>
  <sheetViews>
    <sheetView topLeftCell="A66" workbookViewId="0">
      <selection sqref="A1:B74"/>
    </sheetView>
  </sheetViews>
  <sheetFormatPr defaultRowHeight="15" x14ac:dyDescent="0.25"/>
  <sheetData>
    <row r="1" spans="1:2" ht="24.75" thickBot="1" x14ac:dyDescent="0.3">
      <c r="A1" t="s">
        <v>199</v>
      </c>
      <c r="B1" s="5" t="s">
        <v>198</v>
      </c>
    </row>
    <row r="2" spans="1:2" ht="15.75" thickBot="1" x14ac:dyDescent="0.3">
      <c r="A2" s="6">
        <v>43101</v>
      </c>
      <c r="B2" s="5">
        <v>11304.55</v>
      </c>
    </row>
    <row r="3" spans="1:2" ht="15.75" thickBot="1" x14ac:dyDescent="0.3">
      <c r="A3" s="6">
        <v>43132</v>
      </c>
      <c r="B3" s="5">
        <v>12452.75</v>
      </c>
    </row>
    <row r="4" spans="1:2" ht="15.75" thickBot="1" x14ac:dyDescent="0.3">
      <c r="A4" s="6">
        <v>43160</v>
      </c>
      <c r="B4" s="5">
        <v>13444.52</v>
      </c>
    </row>
    <row r="5" spans="1:2" ht="15.75" thickBot="1" x14ac:dyDescent="0.3">
      <c r="A5" s="6">
        <v>43191</v>
      </c>
      <c r="B5" s="5">
        <v>13619.25</v>
      </c>
    </row>
    <row r="6" spans="1:2" ht="15.75" thickBot="1" x14ac:dyDescent="0.3">
      <c r="A6" s="6">
        <v>43221</v>
      </c>
      <c r="B6" s="5">
        <v>13584.76</v>
      </c>
    </row>
    <row r="7" spans="1:2" ht="15.75" thickBot="1" x14ac:dyDescent="0.3">
      <c r="A7" s="6">
        <v>43252</v>
      </c>
      <c r="B7" s="5">
        <v>14102.75</v>
      </c>
    </row>
    <row r="8" spans="1:2" ht="15.75" thickBot="1" x14ac:dyDescent="0.3">
      <c r="A8" s="6">
        <v>43282</v>
      </c>
      <c r="B8" s="5">
        <v>15067.86</v>
      </c>
    </row>
    <row r="9" spans="1:2" ht="15.75" thickBot="1" x14ac:dyDescent="0.3">
      <c r="A9" s="6">
        <v>43313</v>
      </c>
      <c r="B9" s="5">
        <v>14246.82</v>
      </c>
    </row>
    <row r="10" spans="1:2" ht="15.75" thickBot="1" x14ac:dyDescent="0.3">
      <c r="A10" s="6">
        <v>43344</v>
      </c>
      <c r="B10" s="5">
        <v>13509.05</v>
      </c>
    </row>
    <row r="11" spans="1:2" ht="15.75" thickBot="1" x14ac:dyDescent="0.3">
      <c r="A11" s="6">
        <v>43374</v>
      </c>
      <c r="B11" s="5">
        <v>12803.41</v>
      </c>
    </row>
    <row r="12" spans="1:2" ht="15.75" thickBot="1" x14ac:dyDescent="0.3">
      <c r="A12" s="6">
        <v>43405</v>
      </c>
      <c r="B12" s="5">
        <v>12578.64</v>
      </c>
    </row>
    <row r="13" spans="1:2" ht="15.75" thickBot="1" x14ac:dyDescent="0.3">
      <c r="A13" s="6">
        <v>43435</v>
      </c>
      <c r="B13" s="5">
        <v>11695</v>
      </c>
    </row>
    <row r="14" spans="1:2" ht="15.75" thickBot="1" x14ac:dyDescent="0.3">
      <c r="A14" s="6">
        <v>43466</v>
      </c>
      <c r="B14" s="5">
        <v>10890.68</v>
      </c>
    </row>
    <row r="15" spans="1:2" ht="15.75" thickBot="1" x14ac:dyDescent="0.3">
      <c r="A15" s="6">
        <v>43497</v>
      </c>
      <c r="B15" s="5">
        <v>11046.05</v>
      </c>
    </row>
    <row r="16" spans="1:2" ht="15.75" thickBot="1" x14ac:dyDescent="0.3">
      <c r="A16" s="6">
        <v>43525</v>
      </c>
      <c r="B16" s="5">
        <v>12249.32</v>
      </c>
    </row>
    <row r="17" spans="1:2" ht="15.75" thickBot="1" x14ac:dyDescent="0.3">
      <c r="A17" s="6">
        <v>43556</v>
      </c>
      <c r="B17" s="5">
        <v>13029.5</v>
      </c>
    </row>
    <row r="18" spans="1:2" ht="15.75" thickBot="1" x14ac:dyDescent="0.3">
      <c r="A18" s="6">
        <v>43586</v>
      </c>
      <c r="B18" s="5">
        <v>13000.91</v>
      </c>
    </row>
    <row r="19" spans="1:2" ht="15.75" thickBot="1" x14ac:dyDescent="0.3">
      <c r="A19" s="6">
        <v>43617</v>
      </c>
      <c r="B19" s="5">
        <v>12100</v>
      </c>
    </row>
    <row r="20" spans="1:2" ht="15.75" thickBot="1" x14ac:dyDescent="0.3">
      <c r="A20" s="6">
        <v>43647</v>
      </c>
      <c r="B20" s="5">
        <v>11874.77</v>
      </c>
    </row>
    <row r="21" spans="1:2" ht="15.75" thickBot="1" x14ac:dyDescent="0.3">
      <c r="A21" s="6">
        <v>43678</v>
      </c>
      <c r="B21" s="5">
        <v>12832.73</v>
      </c>
    </row>
    <row r="22" spans="1:2" ht="15.75" thickBot="1" x14ac:dyDescent="0.3">
      <c r="A22" s="6">
        <v>43709</v>
      </c>
      <c r="B22" s="5">
        <v>14940</v>
      </c>
    </row>
    <row r="23" spans="1:2" ht="15.75" thickBot="1" x14ac:dyDescent="0.3">
      <c r="A23" s="6">
        <v>43739</v>
      </c>
      <c r="B23" s="5">
        <v>17176.82</v>
      </c>
    </row>
    <row r="24" spans="1:2" ht="15.75" thickBot="1" x14ac:dyDescent="0.3">
      <c r="A24" s="6">
        <v>43770</v>
      </c>
      <c r="B24" s="5">
        <v>17456.43</v>
      </c>
    </row>
    <row r="25" spans="1:2" ht="15.75" thickBot="1" x14ac:dyDescent="0.3">
      <c r="A25" s="6">
        <v>43800</v>
      </c>
      <c r="B25" s="5">
        <v>16107.27</v>
      </c>
    </row>
    <row r="26" spans="1:2" ht="15.75" thickBot="1" x14ac:dyDescent="0.3">
      <c r="A26" s="6">
        <v>43831</v>
      </c>
      <c r="B26" s="5">
        <v>13875.68</v>
      </c>
    </row>
    <row r="27" spans="1:2" ht="15.75" thickBot="1" x14ac:dyDescent="0.3">
      <c r="A27" s="6">
        <v>43862</v>
      </c>
      <c r="B27" s="5">
        <v>14029.72</v>
      </c>
    </row>
    <row r="28" spans="1:2" ht="15.75" thickBot="1" x14ac:dyDescent="0.3">
      <c r="A28" s="6">
        <v>43891</v>
      </c>
      <c r="B28" s="5">
        <v>12994.57</v>
      </c>
    </row>
    <row r="29" spans="1:2" ht="15.75" thickBot="1" x14ac:dyDescent="0.3">
      <c r="A29" s="6">
        <v>43922</v>
      </c>
      <c r="B29" s="5">
        <v>12301.19</v>
      </c>
    </row>
    <row r="30" spans="1:2" ht="15.75" thickBot="1" x14ac:dyDescent="0.3">
      <c r="A30" s="6">
        <v>43952</v>
      </c>
      <c r="B30" s="5">
        <v>11347.68</v>
      </c>
    </row>
    <row r="31" spans="1:2" ht="15.75" thickBot="1" x14ac:dyDescent="0.3">
      <c r="A31" s="6">
        <v>43983</v>
      </c>
      <c r="B31" s="5">
        <v>12085.1</v>
      </c>
    </row>
    <row r="32" spans="1:2" ht="15.75" thickBot="1" x14ac:dyDescent="0.3">
      <c r="A32" s="6">
        <v>44013</v>
      </c>
      <c r="B32" s="5">
        <v>12595.68</v>
      </c>
    </row>
    <row r="33" spans="1:2" ht="15.75" thickBot="1" x14ac:dyDescent="0.3">
      <c r="A33" s="6">
        <v>44044</v>
      </c>
      <c r="B33" s="5">
        <v>13004.6</v>
      </c>
    </row>
    <row r="34" spans="1:2" ht="15.75" thickBot="1" x14ac:dyDescent="0.3">
      <c r="A34" s="6">
        <v>44075</v>
      </c>
      <c r="B34" s="5">
        <v>13921.87</v>
      </c>
    </row>
    <row r="35" spans="1:2" ht="15.75" thickBot="1" x14ac:dyDescent="0.3">
      <c r="A35" s="6">
        <v>44105</v>
      </c>
      <c r="B35" s="5">
        <v>15059.57</v>
      </c>
    </row>
    <row r="36" spans="1:2" ht="15.75" thickBot="1" x14ac:dyDescent="0.3">
      <c r="A36" s="6">
        <v>44136</v>
      </c>
      <c r="B36" s="5">
        <v>14732.1</v>
      </c>
    </row>
    <row r="37" spans="1:2" ht="15.75" thickBot="1" x14ac:dyDescent="0.3">
      <c r="A37" s="6">
        <v>44166</v>
      </c>
      <c r="B37" s="5">
        <v>15646.7</v>
      </c>
    </row>
    <row r="38" spans="1:2" ht="15.75" thickBot="1" x14ac:dyDescent="0.3">
      <c r="A38" s="6">
        <v>44197</v>
      </c>
      <c r="B38" s="5">
        <v>16541.57</v>
      </c>
    </row>
    <row r="39" spans="1:2" ht="15.75" thickBot="1" x14ac:dyDescent="0.3">
      <c r="A39" s="6">
        <v>44228</v>
      </c>
      <c r="B39" s="5">
        <v>17434.05</v>
      </c>
    </row>
    <row r="40" spans="1:2" ht="15.75" thickBot="1" x14ac:dyDescent="0.3">
      <c r="A40" s="6">
        <v>44256</v>
      </c>
      <c r="B40" s="5">
        <v>18210.39</v>
      </c>
    </row>
    <row r="41" spans="1:2" ht="15.75" thickBot="1" x14ac:dyDescent="0.3">
      <c r="A41" s="6">
        <v>44287</v>
      </c>
      <c r="B41" s="5">
        <v>17251.599999999999</v>
      </c>
    </row>
    <row r="42" spans="1:2" ht="15.75" thickBot="1" x14ac:dyDescent="0.3">
      <c r="A42" s="6">
        <v>44317</v>
      </c>
      <c r="B42" s="5">
        <v>16301.95</v>
      </c>
    </row>
    <row r="43" spans="1:2" ht="15.75" thickBot="1" x14ac:dyDescent="0.3">
      <c r="A43" s="6">
        <v>44348</v>
      </c>
      <c r="B43" s="5">
        <v>17322.48</v>
      </c>
    </row>
    <row r="44" spans="1:2" ht="15.75" thickBot="1" x14ac:dyDescent="0.3">
      <c r="A44" s="6">
        <v>44378</v>
      </c>
      <c r="B44" s="5">
        <v>17650.95</v>
      </c>
    </row>
    <row r="45" spans="1:2" ht="15.75" thickBot="1" x14ac:dyDescent="0.3">
      <c r="A45" s="6">
        <v>44409</v>
      </c>
      <c r="B45" s="5">
        <v>18356.86</v>
      </c>
    </row>
    <row r="46" spans="1:2" ht="15.75" thickBot="1" x14ac:dyDescent="0.3">
      <c r="A46" s="6">
        <v>44440</v>
      </c>
      <c r="B46" s="5">
        <v>19239.259999999998</v>
      </c>
    </row>
    <row r="47" spans="1:2" ht="15.75" thickBot="1" x14ac:dyDescent="0.3">
      <c r="A47" s="6">
        <v>44470</v>
      </c>
      <c r="B47" s="5">
        <v>19499.7</v>
      </c>
    </row>
    <row r="48" spans="1:2" ht="15.75" thickBot="1" x14ac:dyDescent="0.3">
      <c r="A48" s="6">
        <v>44501</v>
      </c>
      <c r="B48" s="5">
        <v>18951.82</v>
      </c>
    </row>
    <row r="49" spans="1:2" ht="15.75" thickBot="1" x14ac:dyDescent="0.3">
      <c r="A49" s="6">
        <v>44531</v>
      </c>
      <c r="B49" s="5">
        <v>19829.349999999999</v>
      </c>
    </row>
    <row r="50" spans="1:2" ht="15.75" thickBot="1" x14ac:dyDescent="0.3">
      <c r="A50" s="6">
        <v>44562</v>
      </c>
      <c r="B50" s="5">
        <v>20189.75</v>
      </c>
    </row>
    <row r="51" spans="1:2" ht="15.75" thickBot="1" x14ac:dyDescent="0.3">
      <c r="A51" s="6">
        <v>44593</v>
      </c>
      <c r="B51" s="5">
        <v>21113.75</v>
      </c>
    </row>
    <row r="52" spans="1:2" ht="15.75" thickBot="1" x14ac:dyDescent="0.3">
      <c r="A52" s="6">
        <v>44621</v>
      </c>
      <c r="B52" s="5">
        <v>23537.05</v>
      </c>
    </row>
    <row r="53" spans="1:2" ht="15.75" thickBot="1" x14ac:dyDescent="0.3">
      <c r="A53" s="6">
        <v>44652</v>
      </c>
      <c r="B53" s="5">
        <v>35995.300000000003</v>
      </c>
    </row>
    <row r="54" spans="1:2" ht="15.75" thickBot="1" x14ac:dyDescent="0.3">
      <c r="A54" s="6">
        <v>44682</v>
      </c>
      <c r="B54" s="5">
        <v>33415.75</v>
      </c>
    </row>
    <row r="55" spans="1:2" ht="15.75" thickBot="1" x14ac:dyDescent="0.3">
      <c r="A55" s="6">
        <v>44713</v>
      </c>
      <c r="B55" s="5">
        <v>30048.81</v>
      </c>
    </row>
    <row r="56" spans="1:2" ht="15.75" thickBot="1" x14ac:dyDescent="0.3">
      <c r="A56" s="6">
        <v>44743</v>
      </c>
      <c r="B56" s="5">
        <v>27414.47</v>
      </c>
    </row>
    <row r="57" spans="1:2" ht="15.75" thickBot="1" x14ac:dyDescent="0.3">
      <c r="A57" s="6">
        <v>44774</v>
      </c>
      <c r="B57" s="5">
        <v>22504.77</v>
      </c>
    </row>
    <row r="58" spans="1:2" ht="15.75" thickBot="1" x14ac:dyDescent="0.3">
      <c r="A58" s="6">
        <v>44805</v>
      </c>
      <c r="B58" s="5">
        <v>22059.13</v>
      </c>
    </row>
    <row r="59" spans="1:2" ht="15.75" thickBot="1" x14ac:dyDescent="0.3">
      <c r="A59" s="6">
        <v>44835</v>
      </c>
      <c r="B59" s="5">
        <v>22081.25</v>
      </c>
    </row>
    <row r="60" spans="1:2" ht="15.75" thickBot="1" x14ac:dyDescent="0.3">
      <c r="A60" s="6">
        <v>44866</v>
      </c>
      <c r="B60" s="5">
        <v>22374.77</v>
      </c>
    </row>
    <row r="61" spans="1:2" ht="15.75" thickBot="1" x14ac:dyDescent="0.3">
      <c r="A61" s="6">
        <v>44896</v>
      </c>
      <c r="B61" s="5">
        <v>23907.73</v>
      </c>
    </row>
    <row r="62" spans="1:2" ht="15.75" thickBot="1" x14ac:dyDescent="0.3">
      <c r="A62" s="6">
        <v>44927</v>
      </c>
      <c r="B62" s="5">
        <v>27482.62</v>
      </c>
    </row>
    <row r="63" spans="1:2" ht="15.75" thickBot="1" x14ac:dyDescent="0.3">
      <c r="A63" s="6">
        <v>44958</v>
      </c>
      <c r="B63" s="5">
        <v>28444.5</v>
      </c>
    </row>
    <row r="64" spans="1:2" ht="15.75" thickBot="1" x14ac:dyDescent="0.3">
      <c r="A64" s="6">
        <v>44986</v>
      </c>
      <c r="B64" s="5">
        <v>27860</v>
      </c>
    </row>
    <row r="65" spans="1:2" ht="15.75" thickBot="1" x14ac:dyDescent="0.3">
      <c r="A65" s="6">
        <v>45017</v>
      </c>
      <c r="B65" s="5">
        <v>24227</v>
      </c>
    </row>
    <row r="66" spans="1:2" ht="15.75" thickBot="1" x14ac:dyDescent="0.3">
      <c r="A66" s="6">
        <v>45047</v>
      </c>
      <c r="B66" s="5">
        <v>23278.57</v>
      </c>
    </row>
    <row r="67" spans="1:2" ht="15.75" thickBot="1" x14ac:dyDescent="0.3">
      <c r="A67" s="6">
        <v>45078</v>
      </c>
      <c r="B67" s="5">
        <v>23317</v>
      </c>
    </row>
    <row r="68" spans="1:2" ht="15.75" thickBot="1" x14ac:dyDescent="0.3">
      <c r="A68" s="6">
        <v>45108</v>
      </c>
      <c r="B68" s="5">
        <v>21376.75</v>
      </c>
    </row>
    <row r="69" spans="1:2" ht="15.75" thickBot="1" x14ac:dyDescent="0.3">
      <c r="A69" s="6">
        <v>45139</v>
      </c>
      <c r="B69" s="5">
        <v>20663.86</v>
      </c>
    </row>
    <row r="70" spans="1:2" ht="15.75" thickBot="1" x14ac:dyDescent="0.3">
      <c r="A70" s="6">
        <v>45170</v>
      </c>
      <c r="B70" s="5">
        <v>20827.73</v>
      </c>
    </row>
    <row r="71" spans="1:2" ht="15.75" thickBot="1" x14ac:dyDescent="0.3">
      <c r="A71" s="6">
        <v>45200</v>
      </c>
      <c r="B71" s="5">
        <v>20190</v>
      </c>
    </row>
    <row r="72" spans="1:2" ht="15.75" thickBot="1" x14ac:dyDescent="0.3">
      <c r="A72" s="6">
        <v>45231</v>
      </c>
      <c r="B72" s="5">
        <v>18563.64</v>
      </c>
    </row>
    <row r="73" spans="1:2" ht="15.75" thickBot="1" x14ac:dyDescent="0.3">
      <c r="A73" s="6">
        <v>45261</v>
      </c>
      <c r="B73" s="5">
        <v>17653.330000000002</v>
      </c>
    </row>
    <row r="74" spans="1:2" ht="15.75" thickBot="1" x14ac:dyDescent="0.3">
      <c r="A74" s="6">
        <v>45292</v>
      </c>
      <c r="B74" s="5">
        <v>16368.86</v>
      </c>
    </row>
  </sheetData>
  <sortState xmlns:xlrd2="http://schemas.microsoft.com/office/spreadsheetml/2017/richdata2" ref="A2:B74">
    <sortCondition ref="A2:A7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18CD-EDA7-4F2C-8D80-D2E27617FB62}">
  <dimension ref="A1:Z75"/>
  <sheetViews>
    <sheetView topLeftCell="A56" zoomScale="110" zoomScaleNormal="110" workbookViewId="0">
      <selection activeCell="J73" sqref="J73"/>
    </sheetView>
  </sheetViews>
  <sheetFormatPr defaultRowHeight="15" x14ac:dyDescent="0.25"/>
  <cols>
    <col min="2" max="2" width="15.140625" customWidth="1"/>
    <col min="10" max="10" width="8.85546875" customWidth="1"/>
    <col min="11" max="11" width="22.85546875" customWidth="1"/>
    <col min="12" max="12" width="22" customWidth="1"/>
    <col min="13" max="13" width="9.140625" customWidth="1"/>
    <col min="17" max="17" width="23.42578125" customWidth="1"/>
    <col min="18" max="18" width="20" customWidth="1"/>
    <col min="19" max="19" width="18.5703125" bestFit="1" customWidth="1"/>
    <col min="24" max="24" width="18.5703125" customWidth="1"/>
    <col min="25" max="25" width="19.28515625" customWidth="1"/>
    <col min="26" max="26" width="19.42578125" customWidth="1"/>
  </cols>
  <sheetData>
    <row r="1" spans="1:26" ht="15.75" thickBot="1" x14ac:dyDescent="0.3">
      <c r="A1" t="s">
        <v>199</v>
      </c>
      <c r="B1" s="5" t="s">
        <v>198</v>
      </c>
      <c r="F1" t="s">
        <v>212</v>
      </c>
    </row>
    <row r="2" spans="1:26" ht="15.75" thickBot="1" x14ac:dyDescent="0.3">
      <c r="A2" s="6">
        <v>43101</v>
      </c>
      <c r="B2" s="5">
        <v>11304.55</v>
      </c>
      <c r="J2" t="s">
        <v>210</v>
      </c>
      <c r="K2" t="s">
        <v>211</v>
      </c>
      <c r="L2" s="10">
        <v>-21.996263840954608</v>
      </c>
      <c r="M2" t="s">
        <v>77</v>
      </c>
      <c r="N2">
        <v>-19.698545098451579</v>
      </c>
      <c r="P2" t="s">
        <v>200</v>
      </c>
      <c r="Q2" s="7">
        <f>MAX(C3:C115)</f>
        <v>34.610768628126458</v>
      </c>
      <c r="X2">
        <v>1</v>
      </c>
      <c r="Y2" s="10">
        <f>Q13</f>
        <v>17.867568877376019</v>
      </c>
      <c r="Z2" s="10">
        <f>R13</f>
        <v>25.840335421042145</v>
      </c>
    </row>
    <row r="3" spans="1:26" ht="15.75" thickBot="1" x14ac:dyDescent="0.3">
      <c r="A3" s="6">
        <v>43132</v>
      </c>
      <c r="B3" s="5">
        <v>12452.75</v>
      </c>
      <c r="C3">
        <f>((B3-B2)/B3)*100</f>
        <v>9.2204533135251303</v>
      </c>
      <c r="D3" t="str">
        <f>VLOOKUP(C3,$L$2:$M$38,2,TRUE)</f>
        <v>A21</v>
      </c>
      <c r="E3">
        <f>VLOOKUP(D3,$M$2:$N$37,2,FALSE)</f>
        <v>9.1944032720226581</v>
      </c>
      <c r="F3">
        <f>(E3*B2/100)+B2</f>
        <v>12343.935915087437</v>
      </c>
      <c r="G3">
        <f>ABS((F3-B3)/B3)*100</f>
        <v>0.87381570265654562</v>
      </c>
      <c r="J3" t="s">
        <v>77</v>
      </c>
      <c r="K3" s="10">
        <v>-21.996263840954608</v>
      </c>
      <c r="L3" s="10">
        <v>-19.338674993065901</v>
      </c>
      <c r="M3" t="s">
        <v>78</v>
      </c>
      <c r="N3">
        <v>-17.81164160495122</v>
      </c>
      <c r="P3" t="s">
        <v>202</v>
      </c>
      <c r="Q3" s="7">
        <f>MIN(C3:C115)</f>
        <v>-21.816263840954608</v>
      </c>
      <c r="X3">
        <v>2</v>
      </c>
      <c r="Y3" s="7">
        <f>Q14</f>
        <v>25.840335421042145</v>
      </c>
      <c r="Z3" s="7">
        <f>Y3+U14</f>
        <v>29.826718692875207</v>
      </c>
    </row>
    <row r="4" spans="1:26" ht="15.75" thickBot="1" x14ac:dyDescent="0.3">
      <c r="A4" s="6">
        <v>43160</v>
      </c>
      <c r="B4" s="5">
        <v>13444.52</v>
      </c>
      <c r="C4">
        <f t="shared" ref="C4:C67" si="0">((B4-B3)/B4)*100</f>
        <v>7.3767601967195588</v>
      </c>
      <c r="D4" t="str">
        <f t="shared" ref="D4:D67" si="1">VLOOKUP(C4,$L$2:$M$38,2,TRUE)</f>
        <v>A20</v>
      </c>
      <c r="E4">
        <f t="shared" ref="E4:E67" si="2">VLOOKUP(D4,$M$2:$N$37,2,FALSE)</f>
        <v>7.7882781128945942</v>
      </c>
      <c r="F4">
        <f t="shared" ref="F4:F67" si="3">(E4*B3/100)+B3</f>
        <v>13422.604802703481</v>
      </c>
      <c r="G4">
        <f t="shared" ref="G4:G67" si="4">ABS((F4-B4)/B4)*100</f>
        <v>0.16300468366679646</v>
      </c>
      <c r="J4" t="s">
        <v>78</v>
      </c>
      <c r="K4" s="10">
        <v>-19.338674993065901</v>
      </c>
      <c r="L4" s="10">
        <v>-16.681086145177193</v>
      </c>
      <c r="M4" t="s">
        <v>79</v>
      </c>
      <c r="N4">
        <v>-15.301857346587797</v>
      </c>
      <c r="P4" t="s">
        <v>203</v>
      </c>
      <c r="Q4" s="7">
        <f>Q3-0.18</f>
        <v>-21.996263840954608</v>
      </c>
      <c r="R4" s="7">
        <f>Q2+0.39</f>
        <v>35.000768628126458</v>
      </c>
      <c r="X4">
        <v>2</v>
      </c>
      <c r="Y4" s="7">
        <f>Z3</f>
        <v>29.826718692875207</v>
      </c>
      <c r="Z4" s="7">
        <f>R14</f>
        <v>35</v>
      </c>
    </row>
    <row r="5" spans="1:26" ht="15.75" thickBot="1" x14ac:dyDescent="0.3">
      <c r="A5" s="6">
        <v>43191</v>
      </c>
      <c r="B5" s="5">
        <v>13619.25</v>
      </c>
      <c r="C5">
        <f t="shared" si="0"/>
        <v>1.282963452466175</v>
      </c>
      <c r="D5" t="str">
        <f t="shared" si="1"/>
        <v>A28</v>
      </c>
      <c r="E5">
        <f t="shared" si="2"/>
        <v>0.6109409685171856</v>
      </c>
      <c r="F5">
        <f t="shared" si="3"/>
        <v>13526.658080700487</v>
      </c>
      <c r="G5">
        <f t="shared" si="4"/>
        <v>0.67986063329121205</v>
      </c>
      <c r="J5" t="s">
        <v>79</v>
      </c>
      <c r="K5" s="10">
        <v>-16.681086145177193</v>
      </c>
      <c r="L5" s="10">
        <v>-14.023497297288484</v>
      </c>
      <c r="M5" t="s">
        <v>113</v>
      </c>
      <c r="N5">
        <v>-13.230845920994332</v>
      </c>
      <c r="P5" t="s">
        <v>204</v>
      </c>
      <c r="Q5" s="8">
        <f>1+(3.3*LOG(73))</f>
        <v>7.1489654383975045</v>
      </c>
      <c r="X5">
        <v>3</v>
      </c>
      <c r="Y5" s="10">
        <f>Q8</f>
        <v>-21.996263840954608</v>
      </c>
      <c r="Z5" s="10">
        <f>Y5+$U$8</f>
        <v>-19.338674993065901</v>
      </c>
    </row>
    <row r="6" spans="1:26" ht="15.75" thickBot="1" x14ac:dyDescent="0.3">
      <c r="A6" s="6">
        <v>43221</v>
      </c>
      <c r="B6" s="5">
        <v>13584.76</v>
      </c>
      <c r="C6">
        <f t="shared" si="0"/>
        <v>-0.25388744445981953</v>
      </c>
      <c r="D6" t="str">
        <f t="shared" si="1"/>
        <v>A27</v>
      </c>
      <c r="E6">
        <f t="shared" si="2"/>
        <v>0.44332999404224049</v>
      </c>
      <c r="F6">
        <f t="shared" si="3"/>
        <v>13679.628220213597</v>
      </c>
      <c r="G6">
        <f t="shared" si="4"/>
        <v>0.69834299769445274</v>
      </c>
      <c r="J6" t="s">
        <v>113</v>
      </c>
      <c r="K6" s="10">
        <v>-14.023497297288483</v>
      </c>
      <c r="L6" s="10">
        <v>-12.428943988555258</v>
      </c>
      <c r="M6" t="s">
        <v>114</v>
      </c>
      <c r="N6">
        <v>-11.521334127448368</v>
      </c>
      <c r="P6" t="s">
        <v>205</v>
      </c>
      <c r="Q6" s="9">
        <f>(R4-Q4)/Q5</f>
        <v>7.9727665436661255</v>
      </c>
      <c r="X6">
        <v>3</v>
      </c>
      <c r="Y6" s="10">
        <f>Z5</f>
        <v>-19.338674993065901</v>
      </c>
      <c r="Z6" s="10">
        <f>Y6+$U$8</f>
        <v>-16.681086145177193</v>
      </c>
    </row>
    <row r="7" spans="1:26" ht="15.75" thickBot="1" x14ac:dyDescent="0.3">
      <c r="A7" s="6">
        <v>43252</v>
      </c>
      <c r="B7" s="5">
        <v>14102.75</v>
      </c>
      <c r="C7">
        <f t="shared" si="0"/>
        <v>3.672971583556397</v>
      </c>
      <c r="D7" t="str">
        <f t="shared" si="1"/>
        <v>A17</v>
      </c>
      <c r="E7">
        <f t="shared" si="2"/>
        <v>3.6759563417854726</v>
      </c>
      <c r="F7">
        <f t="shared" si="3"/>
        <v>14084.129846736336</v>
      </c>
      <c r="G7">
        <f t="shared" si="4"/>
        <v>0.13203207362864816</v>
      </c>
      <c r="J7" t="s">
        <v>114</v>
      </c>
      <c r="K7" s="10">
        <v>-12.428943988555258</v>
      </c>
      <c r="L7" s="10">
        <v>-10.834390679822032</v>
      </c>
      <c r="M7" t="s">
        <v>115</v>
      </c>
      <c r="N7">
        <v>-9.9088353295920815</v>
      </c>
      <c r="R7" s="7">
        <f>Q4</f>
        <v>-21.996263840954608</v>
      </c>
      <c r="S7" t="s">
        <v>206</v>
      </c>
      <c r="T7" t="s">
        <v>207</v>
      </c>
      <c r="U7" t="s">
        <v>208</v>
      </c>
      <c r="X7">
        <v>3</v>
      </c>
      <c r="Y7" s="10">
        <f>Z6</f>
        <v>-16.681086145177193</v>
      </c>
      <c r="Z7" s="10">
        <f>Y7+$U$8</f>
        <v>-14.023497297288484</v>
      </c>
    </row>
    <row r="8" spans="1:26" ht="15.75" thickBot="1" x14ac:dyDescent="0.3">
      <c r="A8" s="6">
        <v>43282</v>
      </c>
      <c r="B8" s="5">
        <v>15067.86</v>
      </c>
      <c r="C8">
        <f t="shared" si="0"/>
        <v>6.4050900393287469</v>
      </c>
      <c r="D8" t="str">
        <f t="shared" si="1"/>
        <v>A19</v>
      </c>
      <c r="E8">
        <f t="shared" si="2"/>
        <v>6.4356962082228719</v>
      </c>
      <c r="F8">
        <f t="shared" si="3"/>
        <v>15010.360147005151</v>
      </c>
      <c r="G8">
        <f t="shared" si="4"/>
        <v>0.381605967900218</v>
      </c>
      <c r="J8" t="s">
        <v>115</v>
      </c>
      <c r="K8" s="10">
        <v>-10.834390679822032</v>
      </c>
      <c r="L8" s="10">
        <v>-9.2398373710888073</v>
      </c>
      <c r="M8" t="s">
        <v>116</v>
      </c>
      <c r="N8">
        <v>-8.2892438529062726</v>
      </c>
      <c r="P8" t="s">
        <v>83</v>
      </c>
      <c r="Q8" s="7">
        <f>Q4</f>
        <v>-21.996263840954608</v>
      </c>
      <c r="R8" s="10">
        <f>Q8+$Q$6</f>
        <v>-14.023497297288483</v>
      </c>
      <c r="S8">
        <f>COUNTIFS($C$3:$C$115,"&gt;="&amp;Q8,$C$3:$C$115,"&lt;="&amp;R8)</f>
        <v>3</v>
      </c>
      <c r="T8">
        <v>3</v>
      </c>
      <c r="U8" s="1">
        <f>$Q$6/T8</f>
        <v>2.6575888478887086</v>
      </c>
      <c r="X8">
        <v>4</v>
      </c>
      <c r="Y8" s="10">
        <f>Q12</f>
        <v>9.8948023337098938</v>
      </c>
      <c r="Z8" s="10">
        <f>Y8+$U$12</f>
        <v>11.887993969626425</v>
      </c>
    </row>
    <row r="9" spans="1:26" ht="15.75" thickBot="1" x14ac:dyDescent="0.3">
      <c r="A9" s="6">
        <v>43313</v>
      </c>
      <c r="B9" s="5">
        <v>14246.82</v>
      </c>
      <c r="C9">
        <f t="shared" si="0"/>
        <v>-5.7629702628376078</v>
      </c>
      <c r="D9" t="str">
        <f t="shared" si="1"/>
        <v>A22</v>
      </c>
      <c r="E9">
        <f t="shared" si="2"/>
        <v>-5.3966391807467309</v>
      </c>
      <c r="F9">
        <f t="shared" si="3"/>
        <v>14254.701963539936</v>
      </c>
      <c r="G9">
        <f t="shared" si="4"/>
        <v>5.5324370911795734E-2</v>
      </c>
      <c r="J9" t="s">
        <v>116</v>
      </c>
      <c r="K9" s="10">
        <v>-9.2398373710888073</v>
      </c>
      <c r="L9" s="10">
        <v>-7.6452840623555822</v>
      </c>
      <c r="M9" t="s">
        <v>117</v>
      </c>
      <c r="N9">
        <v>-6.7460058080038392</v>
      </c>
      <c r="P9" t="s">
        <v>84</v>
      </c>
      <c r="Q9" s="10">
        <f>R8</f>
        <v>-14.023497297288483</v>
      </c>
      <c r="R9" s="10">
        <f>Q9+$Q$6</f>
        <v>-6.0507307536223571</v>
      </c>
      <c r="S9">
        <f t="shared" ref="S9:S14" si="5">COUNTIFS($C$3:$C$115,"&gt;="&amp;Q9,$C$3:$C$115,"&lt;="&amp;R9)</f>
        <v>12</v>
      </c>
      <c r="T9">
        <v>5</v>
      </c>
      <c r="U9" s="1">
        <f t="shared" ref="U9:U14" si="6">$Q$6/T9</f>
        <v>1.5945533087332251</v>
      </c>
      <c r="X9">
        <v>4</v>
      </c>
      <c r="Y9" s="10">
        <f>Z8</f>
        <v>11.887993969626425</v>
      </c>
      <c r="Z9" s="10">
        <f>Y9+$U$12</f>
        <v>13.881185605542957</v>
      </c>
    </row>
    <row r="10" spans="1:26" ht="15.75" thickBot="1" x14ac:dyDescent="0.3">
      <c r="A10" s="6">
        <v>43344</v>
      </c>
      <c r="B10" s="5">
        <v>13509.05</v>
      </c>
      <c r="C10">
        <f t="shared" si="0"/>
        <v>-5.4613018680070065</v>
      </c>
      <c r="D10" t="str">
        <f t="shared" si="1"/>
        <v>A22</v>
      </c>
      <c r="E10">
        <f t="shared" si="2"/>
        <v>-5.3966391807467309</v>
      </c>
      <c r="F10">
        <f t="shared" si="3"/>
        <v>13477.970529869539</v>
      </c>
      <c r="G10">
        <f t="shared" si="4"/>
        <v>0.23006406912743921</v>
      </c>
      <c r="J10" t="s">
        <v>117</v>
      </c>
      <c r="K10" s="10">
        <v>-7.6452840623555822</v>
      </c>
      <c r="L10" s="10">
        <v>-6.0507307536223571</v>
      </c>
      <c r="M10" t="s">
        <v>124</v>
      </c>
      <c r="N10">
        <v>-5.3966391807467309</v>
      </c>
      <c r="P10" t="s">
        <v>85</v>
      </c>
      <c r="Q10" s="10">
        <f t="shared" ref="Q10:Q14" si="7">R9</f>
        <v>-6.0507307536223571</v>
      </c>
      <c r="R10" s="10">
        <f t="shared" ref="R10:R12" si="8">Q10+$Q$6</f>
        <v>1.9220357900437683</v>
      </c>
      <c r="S10">
        <f t="shared" si="5"/>
        <v>29</v>
      </c>
      <c r="T10">
        <v>7</v>
      </c>
      <c r="U10" s="1">
        <f t="shared" si="6"/>
        <v>1.1389666490951609</v>
      </c>
      <c r="X10">
        <v>4</v>
      </c>
      <c r="Y10" s="10">
        <f t="shared" ref="Y10:Y11" si="9">Z9</f>
        <v>13.881185605542957</v>
      </c>
      <c r="Z10" s="10">
        <f t="shared" ref="Z10:Z11" si="10">Y10+$U$12</f>
        <v>15.874377241459488</v>
      </c>
    </row>
    <row r="11" spans="1:26" ht="15.75" thickBot="1" x14ac:dyDescent="0.3">
      <c r="A11" s="6">
        <v>43374</v>
      </c>
      <c r="B11" s="5">
        <v>12803.41</v>
      </c>
      <c r="C11">
        <f t="shared" si="0"/>
        <v>-5.5113442434476401</v>
      </c>
      <c r="D11" t="str">
        <f t="shared" si="1"/>
        <v>A22</v>
      </c>
      <c r="E11">
        <f t="shared" si="2"/>
        <v>-5.3966391807467309</v>
      </c>
      <c r="F11">
        <f t="shared" si="3"/>
        <v>12780.015314753333</v>
      </c>
      <c r="G11">
        <f t="shared" si="4"/>
        <v>0.18272230012681773</v>
      </c>
      <c r="J11" t="s">
        <v>124</v>
      </c>
      <c r="K11" s="10">
        <v>-6.0507307536223571</v>
      </c>
      <c r="L11" s="10">
        <v>-4.9117641045271965</v>
      </c>
      <c r="M11" t="s">
        <v>125</v>
      </c>
      <c r="N11">
        <v>-4.1875856006352548</v>
      </c>
      <c r="P11" t="s">
        <v>86</v>
      </c>
      <c r="Q11" s="10">
        <f t="shared" si="7"/>
        <v>1.9220357900437683</v>
      </c>
      <c r="R11" s="10">
        <f t="shared" si="8"/>
        <v>9.8948023337098938</v>
      </c>
      <c r="S11">
        <f t="shared" si="5"/>
        <v>23</v>
      </c>
      <c r="T11">
        <v>6</v>
      </c>
      <c r="U11" s="1">
        <f t="shared" si="6"/>
        <v>1.3287944239443543</v>
      </c>
      <c r="X11">
        <v>4</v>
      </c>
      <c r="Y11" s="10">
        <f t="shared" si="9"/>
        <v>15.874377241459488</v>
      </c>
      <c r="Z11" s="10">
        <f t="shared" si="10"/>
        <v>17.867568877376019</v>
      </c>
    </row>
    <row r="12" spans="1:26" ht="15.75" thickBot="1" x14ac:dyDescent="0.3">
      <c r="A12" s="6">
        <v>43405</v>
      </c>
      <c r="B12" s="5">
        <v>12578.64</v>
      </c>
      <c r="C12">
        <f t="shared" si="0"/>
        <v>-1.7869181405938992</v>
      </c>
      <c r="D12" t="str">
        <f t="shared" si="1"/>
        <v>A25</v>
      </c>
      <c r="E12">
        <f t="shared" si="2"/>
        <v>-1.6937368133701793</v>
      </c>
      <c r="F12">
        <f t="shared" si="3"/>
        <v>12586.553931463281</v>
      </c>
      <c r="G12">
        <f t="shared" si="4"/>
        <v>6.2915636851688161E-2</v>
      </c>
      <c r="J12" t="s">
        <v>125</v>
      </c>
      <c r="K12" s="10">
        <v>-4.9117641045271965</v>
      </c>
      <c r="L12" s="10">
        <v>-3.7727974554320358</v>
      </c>
      <c r="M12" t="s">
        <v>126</v>
      </c>
      <c r="N12">
        <v>-2.9871663768425667</v>
      </c>
      <c r="P12" t="s">
        <v>87</v>
      </c>
      <c r="Q12" s="10">
        <f t="shared" si="7"/>
        <v>9.8948023337098938</v>
      </c>
      <c r="R12" s="10">
        <f t="shared" si="8"/>
        <v>17.867568877376019</v>
      </c>
      <c r="S12">
        <f t="shared" si="5"/>
        <v>4</v>
      </c>
      <c r="T12">
        <v>4</v>
      </c>
      <c r="U12" s="1">
        <f t="shared" si="6"/>
        <v>1.9931916359165314</v>
      </c>
      <c r="X12">
        <v>5</v>
      </c>
      <c r="Y12" s="10">
        <f>Q9</f>
        <v>-14.023497297288483</v>
      </c>
      <c r="Z12" s="10">
        <f>Y12+$U$9</f>
        <v>-12.428943988555258</v>
      </c>
    </row>
    <row r="13" spans="1:26" ht="15.75" thickBot="1" x14ac:dyDescent="0.3">
      <c r="A13" s="6">
        <v>43435</v>
      </c>
      <c r="B13" s="5">
        <v>11695</v>
      </c>
      <c r="C13">
        <f t="shared" si="0"/>
        <v>-7.5557075673364631</v>
      </c>
      <c r="D13" t="str">
        <f t="shared" si="1"/>
        <v>A15</v>
      </c>
      <c r="E13">
        <f t="shared" si="2"/>
        <v>-6.7460058080038392</v>
      </c>
      <c r="F13">
        <f t="shared" si="3"/>
        <v>11730.084215032106</v>
      </c>
      <c r="G13">
        <f t="shared" si="4"/>
        <v>0.29999328800432601</v>
      </c>
      <c r="J13" t="s">
        <v>126</v>
      </c>
      <c r="K13" s="10">
        <v>-3.7727974554320358</v>
      </c>
      <c r="L13" s="10">
        <v>-2.6338308063368752</v>
      </c>
      <c r="M13" t="s">
        <v>127</v>
      </c>
      <c r="N13">
        <v>-1.6937368133701793</v>
      </c>
      <c r="P13" t="s">
        <v>88</v>
      </c>
      <c r="Q13" s="10">
        <f t="shared" si="7"/>
        <v>17.867568877376019</v>
      </c>
      <c r="R13" s="10">
        <f>Q13+$Q$6</f>
        <v>25.840335421042145</v>
      </c>
      <c r="S13">
        <f t="shared" si="5"/>
        <v>0</v>
      </c>
      <c r="T13">
        <v>1</v>
      </c>
      <c r="U13" s="1">
        <f t="shared" si="6"/>
        <v>7.9727665436661255</v>
      </c>
      <c r="X13">
        <v>5</v>
      </c>
      <c r="Y13" s="10">
        <f>Z12</f>
        <v>-12.428943988555258</v>
      </c>
      <c r="Z13" s="10">
        <f>Y13+$U$9</f>
        <v>-10.834390679822032</v>
      </c>
    </row>
    <row r="14" spans="1:26" ht="15.75" thickBot="1" x14ac:dyDescent="0.3">
      <c r="A14" s="6">
        <v>43466</v>
      </c>
      <c r="B14" s="5">
        <v>10890.68</v>
      </c>
      <c r="C14">
        <f t="shared" si="0"/>
        <v>-7.3853974223831722</v>
      </c>
      <c r="D14" t="str">
        <f t="shared" si="1"/>
        <v>A15</v>
      </c>
      <c r="E14">
        <f t="shared" si="2"/>
        <v>-6.7460058080038392</v>
      </c>
      <c r="F14">
        <f t="shared" si="3"/>
        <v>10906.054620753952</v>
      </c>
      <c r="G14">
        <f t="shared" si="4"/>
        <v>0.14117227532120677</v>
      </c>
      <c r="J14" t="s">
        <v>127</v>
      </c>
      <c r="K14" s="10">
        <v>-2.6338308063368752</v>
      </c>
      <c r="L14" s="10">
        <v>-1.4948641572417143</v>
      </c>
      <c r="M14" t="s">
        <v>128</v>
      </c>
      <c r="N14">
        <v>1.9643741875531848</v>
      </c>
      <c r="P14" t="s">
        <v>89</v>
      </c>
      <c r="Q14" s="10">
        <f t="shared" si="7"/>
        <v>25.840335421042145</v>
      </c>
      <c r="R14" s="10">
        <v>35</v>
      </c>
      <c r="S14">
        <f t="shared" si="5"/>
        <v>1</v>
      </c>
      <c r="T14">
        <v>2</v>
      </c>
      <c r="U14" s="1">
        <f t="shared" si="6"/>
        <v>3.9863832718330627</v>
      </c>
      <c r="X14">
        <v>5</v>
      </c>
      <c r="Y14" s="10">
        <f t="shared" ref="Y14:Y16" si="11">Z13</f>
        <v>-10.834390679822032</v>
      </c>
      <c r="Z14" s="10">
        <f t="shared" ref="Z14:Z16" si="12">Y14+$U$9</f>
        <v>-9.2398373710888073</v>
      </c>
    </row>
    <row r="15" spans="1:26" ht="15.75" thickBot="1" x14ac:dyDescent="0.3">
      <c r="A15" s="6">
        <v>43497</v>
      </c>
      <c r="B15" s="5">
        <v>11046.05</v>
      </c>
      <c r="C15">
        <f t="shared" si="0"/>
        <v>1.4065661480800737</v>
      </c>
      <c r="D15" t="str">
        <f t="shared" si="1"/>
        <v>A28</v>
      </c>
      <c r="E15">
        <f t="shared" si="2"/>
        <v>0.6109409685171856</v>
      </c>
      <c r="F15">
        <f t="shared" si="3"/>
        <v>10957.215625870107</v>
      </c>
      <c r="G15">
        <f t="shared" si="4"/>
        <v>0.80421846841080979</v>
      </c>
      <c r="J15" t="s">
        <v>128</v>
      </c>
      <c r="K15" s="10">
        <v>-1.4948641572417143</v>
      </c>
      <c r="L15" s="10">
        <v>-0.35589750814655341</v>
      </c>
      <c r="M15" t="s">
        <v>129</v>
      </c>
      <c r="N15">
        <v>0.44332999404224049</v>
      </c>
      <c r="Q15" s="10"/>
      <c r="R15" s="11"/>
      <c r="X15">
        <v>5</v>
      </c>
      <c r="Y15" s="10">
        <f t="shared" si="11"/>
        <v>-9.2398373710888073</v>
      </c>
      <c r="Z15" s="10">
        <f t="shared" si="12"/>
        <v>-7.6452840623555822</v>
      </c>
    </row>
    <row r="16" spans="1:26" ht="15.75" thickBot="1" x14ac:dyDescent="0.3">
      <c r="A16" s="6">
        <v>43525</v>
      </c>
      <c r="B16" s="5">
        <v>12249.32</v>
      </c>
      <c r="C16">
        <f t="shared" si="0"/>
        <v>9.8231575303772001</v>
      </c>
      <c r="D16" t="str">
        <f t="shared" si="1"/>
        <v>A21</v>
      </c>
      <c r="E16">
        <f t="shared" si="2"/>
        <v>9.1944032720226581</v>
      </c>
      <c r="F16">
        <f t="shared" si="3"/>
        <v>12061.668382629257</v>
      </c>
      <c r="G16">
        <f t="shared" si="4"/>
        <v>1.5319349757434888</v>
      </c>
      <c r="J16" t="s">
        <v>129</v>
      </c>
      <c r="K16" s="10">
        <v>-0.35589750814655341</v>
      </c>
      <c r="L16" s="10">
        <v>0.78306914094860747</v>
      </c>
      <c r="M16" t="s">
        <v>209</v>
      </c>
      <c r="N16">
        <v>0.6109409685171856</v>
      </c>
      <c r="X16">
        <v>5</v>
      </c>
      <c r="Y16" s="10">
        <f t="shared" si="11"/>
        <v>-7.6452840623555822</v>
      </c>
      <c r="Z16" s="10">
        <f t="shared" si="12"/>
        <v>-6.0507307536223571</v>
      </c>
    </row>
    <row r="17" spans="1:26" ht="15.75" thickBot="1" x14ac:dyDescent="0.3">
      <c r="A17" s="6">
        <v>43556</v>
      </c>
      <c r="B17" s="5">
        <v>13029.5</v>
      </c>
      <c r="C17">
        <f t="shared" si="0"/>
        <v>5.9877969223684744</v>
      </c>
      <c r="D17" t="str">
        <f t="shared" si="1"/>
        <v>A19</v>
      </c>
      <c r="E17">
        <f t="shared" si="2"/>
        <v>6.4356962082228719</v>
      </c>
      <c r="F17">
        <f t="shared" si="3"/>
        <v>13037.649022773086</v>
      </c>
      <c r="G17">
        <f t="shared" si="4"/>
        <v>6.2542866365451255E-2</v>
      </c>
      <c r="J17" t="s">
        <v>209</v>
      </c>
      <c r="K17" s="10">
        <v>0.78306914094860747</v>
      </c>
      <c r="L17" s="10">
        <v>1.9220357900437683</v>
      </c>
      <c r="M17" t="s">
        <v>118</v>
      </c>
      <c r="N17">
        <v>2.2624158150152858</v>
      </c>
      <c r="X17">
        <v>6</v>
      </c>
      <c r="Y17" s="10">
        <f>Q11</f>
        <v>1.9220357900437683</v>
      </c>
      <c r="Z17" s="10">
        <f>Y17+$U$11</f>
        <v>3.2508302139881229</v>
      </c>
    </row>
    <row r="18" spans="1:26" ht="15.75" thickBot="1" x14ac:dyDescent="0.3">
      <c r="A18" s="6">
        <v>43586</v>
      </c>
      <c r="B18" s="5">
        <v>13000.91</v>
      </c>
      <c r="C18">
        <f t="shared" si="0"/>
        <v>-0.21990768338524105</v>
      </c>
      <c r="D18" t="str">
        <f t="shared" si="1"/>
        <v>A27</v>
      </c>
      <c r="E18">
        <f t="shared" si="2"/>
        <v>0.44332999404224049</v>
      </c>
      <c r="F18">
        <f t="shared" si="3"/>
        <v>13087.263681573733</v>
      </c>
      <c r="G18">
        <f t="shared" si="4"/>
        <v>0.6642125941471283</v>
      </c>
      <c r="J18" t="s">
        <v>118</v>
      </c>
      <c r="K18" s="10">
        <v>1.9220357900437683</v>
      </c>
      <c r="L18" s="10">
        <v>3.2508302139881229</v>
      </c>
      <c r="M18" t="s">
        <v>119</v>
      </c>
      <c r="N18">
        <v>3.6759563417854726</v>
      </c>
      <c r="P18" t="s">
        <v>77</v>
      </c>
      <c r="Q18" s="10">
        <v>-21.996263840954608</v>
      </c>
      <c r="R18" s="10">
        <v>-19.338674993065901</v>
      </c>
      <c r="S18" s="12">
        <f t="shared" ref="S18:S45" si="13">MEDIAN(Q18:R18)</f>
        <v>-20.667469417010253</v>
      </c>
      <c r="U18" t="s">
        <v>77</v>
      </c>
      <c r="V18">
        <f>((1+0.5)/((1/S18)+(0.5/S19)))</f>
        <v>-19.698545098451579</v>
      </c>
      <c r="X18">
        <v>6</v>
      </c>
      <c r="Y18" s="10">
        <f>Z17</f>
        <v>3.2508302139881229</v>
      </c>
      <c r="Z18" s="10">
        <f>Y18+$U$11</f>
        <v>4.5796246379324774</v>
      </c>
    </row>
    <row r="19" spans="1:26" ht="15.75" thickBot="1" x14ac:dyDescent="0.3">
      <c r="A19" s="6">
        <v>43617</v>
      </c>
      <c r="B19" s="5">
        <v>12100</v>
      </c>
      <c r="C19">
        <f t="shared" si="0"/>
        <v>-7.4455371900826437</v>
      </c>
      <c r="D19" t="str">
        <f t="shared" si="1"/>
        <v>A15</v>
      </c>
      <c r="E19">
        <f t="shared" si="2"/>
        <v>-6.7460058080038392</v>
      </c>
      <c r="F19">
        <f t="shared" si="3"/>
        <v>12123.867856306648</v>
      </c>
      <c r="G19">
        <f t="shared" si="4"/>
        <v>0.19725501079874225</v>
      </c>
      <c r="J19" t="s">
        <v>119</v>
      </c>
      <c r="K19" s="10">
        <v>3.2508302139881229</v>
      </c>
      <c r="L19" s="10">
        <v>4.5796246379324774</v>
      </c>
      <c r="M19" t="s">
        <v>120</v>
      </c>
      <c r="N19">
        <v>5.070084709156089</v>
      </c>
      <c r="P19" t="s">
        <v>78</v>
      </c>
      <c r="Q19" s="10">
        <v>-19.338674993065901</v>
      </c>
      <c r="R19" s="10">
        <v>-16.681086145177193</v>
      </c>
      <c r="S19" s="12">
        <f t="shared" si="13"/>
        <v>-18.009880569121549</v>
      </c>
      <c r="U19" t="s">
        <v>78</v>
      </c>
      <c r="V19">
        <f t="shared" ref="V19:V44" si="14" xml:space="preserve"> ((0.5+1+0.5)/((0.5/S18)+(1/S19)+(0.5/S20)))</f>
        <v>-17.81164160495122</v>
      </c>
      <c r="X19">
        <v>6</v>
      </c>
      <c r="Y19" s="10">
        <f t="shared" ref="Y19:Y22" si="15">Z18</f>
        <v>4.5796246379324774</v>
      </c>
      <c r="Z19" s="10">
        <f t="shared" ref="Z19:Z22" si="16">Y19+$U$11</f>
        <v>5.908419061876832</v>
      </c>
    </row>
    <row r="20" spans="1:26" ht="15.75" thickBot="1" x14ac:dyDescent="0.3">
      <c r="A20" s="6">
        <v>43647</v>
      </c>
      <c r="B20" s="5">
        <v>11874.77</v>
      </c>
      <c r="C20">
        <f t="shared" si="0"/>
        <v>-1.8967104204965617</v>
      </c>
      <c r="D20" t="str">
        <f t="shared" si="1"/>
        <v>A25</v>
      </c>
      <c r="E20">
        <f t="shared" si="2"/>
        <v>-1.6937368133701793</v>
      </c>
      <c r="F20">
        <f t="shared" si="3"/>
        <v>11895.057845582209</v>
      </c>
      <c r="G20">
        <f t="shared" si="4"/>
        <v>0.17084832449140758</v>
      </c>
      <c r="J20" t="s">
        <v>120</v>
      </c>
      <c r="K20" s="10">
        <v>4.5796246379324774</v>
      </c>
      <c r="L20" s="10">
        <v>5.908419061876832</v>
      </c>
      <c r="M20" t="s">
        <v>121</v>
      </c>
      <c r="N20">
        <v>6.4356962082228719</v>
      </c>
      <c r="P20" t="s">
        <v>79</v>
      </c>
      <c r="Q20" s="10">
        <v>-16.681086145177193</v>
      </c>
      <c r="R20" s="10">
        <v>-14.023497297288484</v>
      </c>
      <c r="S20" s="12">
        <f t="shared" si="13"/>
        <v>-15.352291721232838</v>
      </c>
      <c r="U20" t="s">
        <v>79</v>
      </c>
      <c r="V20">
        <f t="shared" si="14"/>
        <v>-15.301857346587797</v>
      </c>
      <c r="X20">
        <v>6</v>
      </c>
      <c r="Y20" s="10">
        <f t="shared" si="15"/>
        <v>5.908419061876832</v>
      </c>
      <c r="Z20" s="10">
        <f t="shared" si="16"/>
        <v>7.2372134858211865</v>
      </c>
    </row>
    <row r="21" spans="1:26" ht="15.75" thickBot="1" x14ac:dyDescent="0.3">
      <c r="A21" s="6">
        <v>43678</v>
      </c>
      <c r="B21" s="5">
        <v>12832.73</v>
      </c>
      <c r="C21">
        <f t="shared" si="0"/>
        <v>7.4649743273644749</v>
      </c>
      <c r="D21" t="str">
        <f t="shared" si="1"/>
        <v>A20</v>
      </c>
      <c r="E21">
        <f t="shared" si="2"/>
        <v>7.7882781128945942</v>
      </c>
      <c r="F21">
        <f t="shared" si="3"/>
        <v>12799.610112866574</v>
      </c>
      <c r="G21">
        <f t="shared" si="4"/>
        <v>0.25808917614120641</v>
      </c>
      <c r="J21" t="s">
        <v>121</v>
      </c>
      <c r="K21" s="10">
        <v>5.908419061876832</v>
      </c>
      <c r="L21" s="10">
        <v>7.2372134858211865</v>
      </c>
      <c r="M21" t="s">
        <v>122</v>
      </c>
      <c r="N21">
        <v>7.7882781128945942</v>
      </c>
      <c r="P21" t="s">
        <v>113</v>
      </c>
      <c r="Q21" s="10">
        <v>-14.023497297288483</v>
      </c>
      <c r="R21" s="10">
        <v>-12.428943988555258</v>
      </c>
      <c r="S21" s="12">
        <f t="shared" si="13"/>
        <v>-13.22622064292187</v>
      </c>
      <c r="U21" t="s">
        <v>113</v>
      </c>
      <c r="V21">
        <f t="shared" si="14"/>
        <v>-13.230845920994332</v>
      </c>
      <c r="X21">
        <v>6</v>
      </c>
      <c r="Y21" s="10">
        <f t="shared" si="15"/>
        <v>7.2372134858211865</v>
      </c>
      <c r="Z21" s="10">
        <f t="shared" si="16"/>
        <v>8.5660079097655402</v>
      </c>
    </row>
    <row r="22" spans="1:26" ht="15.75" thickBot="1" x14ac:dyDescent="0.3">
      <c r="A22" s="6">
        <v>43709</v>
      </c>
      <c r="B22" s="5">
        <v>14940</v>
      </c>
      <c r="C22">
        <f t="shared" si="0"/>
        <v>14.104886211512721</v>
      </c>
      <c r="D22" t="str">
        <f t="shared" si="1"/>
        <v>A9</v>
      </c>
      <c r="E22">
        <f t="shared" si="2"/>
        <v>14.743057430674716</v>
      </c>
      <c r="F22">
        <f t="shared" si="3"/>
        <v>14724.666753823423</v>
      </c>
      <c r="G22">
        <f t="shared" si="4"/>
        <v>1.4413202555326421</v>
      </c>
      <c r="J22" t="s">
        <v>122</v>
      </c>
      <c r="K22" s="10">
        <v>7.2372134858211865</v>
      </c>
      <c r="L22" s="10">
        <v>8.5660079097655402</v>
      </c>
      <c r="M22" t="s">
        <v>123</v>
      </c>
      <c r="N22">
        <v>9.1944032720226581</v>
      </c>
      <c r="P22" t="s">
        <v>114</v>
      </c>
      <c r="Q22" s="10">
        <v>-12.428943988555258</v>
      </c>
      <c r="R22" s="10">
        <v>-10.834390679822032</v>
      </c>
      <c r="S22" s="12">
        <f t="shared" si="13"/>
        <v>-11.631667334188645</v>
      </c>
      <c r="U22" t="s">
        <v>114</v>
      </c>
      <c r="V22">
        <f t="shared" si="14"/>
        <v>-11.521334127448368</v>
      </c>
      <c r="X22">
        <v>6</v>
      </c>
      <c r="Y22" s="10">
        <f t="shared" si="15"/>
        <v>8.5660079097655402</v>
      </c>
      <c r="Z22" s="10">
        <f t="shared" si="16"/>
        <v>9.8948023337098938</v>
      </c>
    </row>
    <row r="23" spans="1:26" ht="15.75" thickBot="1" x14ac:dyDescent="0.3">
      <c r="A23" s="6">
        <v>43739</v>
      </c>
      <c r="B23" s="5">
        <v>17176.82</v>
      </c>
      <c r="C23">
        <f t="shared" si="0"/>
        <v>13.022317285737406</v>
      </c>
      <c r="D23" t="str">
        <f t="shared" si="1"/>
        <v>A8</v>
      </c>
      <c r="E23">
        <f t="shared" si="2"/>
        <v>12.728553588339425</v>
      </c>
      <c r="F23">
        <f t="shared" si="3"/>
        <v>16841.64590609791</v>
      </c>
      <c r="G23">
        <f t="shared" si="4"/>
        <v>1.9513163315566513</v>
      </c>
      <c r="J23" t="s">
        <v>123</v>
      </c>
      <c r="K23" s="10">
        <v>8.5660079097655402</v>
      </c>
      <c r="L23" s="10">
        <v>9.8948023337098938</v>
      </c>
      <c r="M23" t="s">
        <v>80</v>
      </c>
      <c r="N23">
        <v>10.823071473509868</v>
      </c>
      <c r="P23" t="s">
        <v>115</v>
      </c>
      <c r="Q23" s="10">
        <v>-10.834390679822032</v>
      </c>
      <c r="R23" s="10">
        <v>-9.2398373710888073</v>
      </c>
      <c r="S23" s="12">
        <f t="shared" si="13"/>
        <v>-10.03711402545542</v>
      </c>
      <c r="U23" t="s">
        <v>115</v>
      </c>
      <c r="V23">
        <f t="shared" si="14"/>
        <v>-9.9088353295920815</v>
      </c>
      <c r="X23">
        <v>7</v>
      </c>
      <c r="Y23" s="10">
        <f>Q10</f>
        <v>-6.0507307536223571</v>
      </c>
      <c r="Z23" s="10">
        <f>Y23+$U$10</f>
        <v>-4.9117641045271965</v>
      </c>
    </row>
    <row r="24" spans="1:26" ht="15.75" thickBot="1" x14ac:dyDescent="0.3">
      <c r="A24" s="6">
        <v>43770</v>
      </c>
      <c r="B24" s="5">
        <v>17456.43</v>
      </c>
      <c r="C24">
        <f t="shared" si="0"/>
        <v>1.6017593517116648</v>
      </c>
      <c r="D24" t="str">
        <f t="shared" si="1"/>
        <v>A28</v>
      </c>
      <c r="E24">
        <f t="shared" si="2"/>
        <v>0.6109409685171856</v>
      </c>
      <c r="F24">
        <f t="shared" si="3"/>
        <v>17281.760230468455</v>
      </c>
      <c r="G24">
        <f t="shared" si="4"/>
        <v>1.0006041872911309</v>
      </c>
      <c r="J24" t="s">
        <v>80</v>
      </c>
      <c r="K24" s="10">
        <v>9.8948023337098938</v>
      </c>
      <c r="L24" s="10">
        <v>11.887993969626425</v>
      </c>
      <c r="M24" t="s">
        <v>110</v>
      </c>
      <c r="N24">
        <v>12.728553588339425</v>
      </c>
      <c r="P24" t="s">
        <v>116</v>
      </c>
      <c r="Q24" s="10">
        <v>-9.2398373710888073</v>
      </c>
      <c r="R24" s="10">
        <v>-7.6452840623555822</v>
      </c>
      <c r="S24" s="12">
        <f t="shared" si="13"/>
        <v>-8.4425607167221948</v>
      </c>
      <c r="U24" t="s">
        <v>116</v>
      </c>
      <c r="V24">
        <f t="shared" si="14"/>
        <v>-8.2892438529062726</v>
      </c>
      <c r="X24">
        <v>7</v>
      </c>
      <c r="Y24" s="10">
        <f>Z23</f>
        <v>-4.9117641045271965</v>
      </c>
      <c r="Z24" s="10">
        <f>Y24+$U$10</f>
        <v>-3.7727974554320358</v>
      </c>
    </row>
    <row r="25" spans="1:26" ht="15.75" thickBot="1" x14ac:dyDescent="0.3">
      <c r="A25" s="6">
        <v>43800</v>
      </c>
      <c r="B25" s="5">
        <v>16107.27</v>
      </c>
      <c r="C25">
        <f t="shared" si="0"/>
        <v>-8.3760935279535254</v>
      </c>
      <c r="D25" t="str">
        <f t="shared" si="1"/>
        <v>A14</v>
      </c>
      <c r="E25">
        <f t="shared" si="2"/>
        <v>-8.2892438529062726</v>
      </c>
      <c r="F25">
        <f t="shared" si="3"/>
        <v>16009.423949288113</v>
      </c>
      <c r="G25">
        <f t="shared" si="4"/>
        <v>0.60746514283231778</v>
      </c>
      <c r="J25" t="s">
        <v>110</v>
      </c>
      <c r="K25" s="10">
        <v>11.887993969626425</v>
      </c>
      <c r="L25" s="10">
        <v>13.881185605542957</v>
      </c>
      <c r="M25" t="s">
        <v>111</v>
      </c>
      <c r="N25">
        <v>14.743057430674716</v>
      </c>
      <c r="P25" t="s">
        <v>117</v>
      </c>
      <c r="Q25" s="10">
        <v>-7.6452840623555822</v>
      </c>
      <c r="R25" s="10">
        <v>-6.0507307536223571</v>
      </c>
      <c r="S25" s="12">
        <f t="shared" si="13"/>
        <v>-6.8480074079889697</v>
      </c>
      <c r="U25" t="s">
        <v>117</v>
      </c>
      <c r="V25">
        <f t="shared" si="14"/>
        <v>-6.7460058080038392</v>
      </c>
      <c r="X25">
        <v>7</v>
      </c>
      <c r="Y25" s="10">
        <f t="shared" ref="Y25:Y29" si="17">Z24</f>
        <v>-3.7727974554320358</v>
      </c>
      <c r="Z25" s="10">
        <f t="shared" ref="Z25:Z29" si="18">Y25+$U$10</f>
        <v>-2.6338308063368752</v>
      </c>
    </row>
    <row r="26" spans="1:26" ht="15.75" thickBot="1" x14ac:dyDescent="0.3">
      <c r="A26" s="6">
        <v>43831</v>
      </c>
      <c r="B26" s="5">
        <v>13875.68</v>
      </c>
      <c r="C26">
        <f t="shared" si="0"/>
        <v>-16.082743332218673</v>
      </c>
      <c r="D26" t="str">
        <f t="shared" si="1"/>
        <v>A6</v>
      </c>
      <c r="E26">
        <f t="shared" si="2"/>
        <v>-15.301857346587797</v>
      </c>
      <c r="F26">
        <f t="shared" si="3"/>
        <v>13642.558522170268</v>
      </c>
      <c r="G26">
        <f t="shared" si="4"/>
        <v>1.6800724564830882</v>
      </c>
      <c r="J26" t="s">
        <v>111</v>
      </c>
      <c r="K26" s="10">
        <v>13.881185605542957</v>
      </c>
      <c r="L26" s="10">
        <v>15.874377241459488</v>
      </c>
      <c r="M26" t="s">
        <v>112</v>
      </c>
      <c r="N26">
        <v>17.277166567498583</v>
      </c>
      <c r="P26" t="s">
        <v>124</v>
      </c>
      <c r="Q26" s="10">
        <v>-6.0507307536223571</v>
      </c>
      <c r="R26" s="10">
        <v>-4.9117641045271965</v>
      </c>
      <c r="S26" s="12">
        <f t="shared" si="13"/>
        <v>-5.4812474290747772</v>
      </c>
      <c r="U26" t="s">
        <v>124</v>
      </c>
      <c r="V26">
        <f t="shared" si="14"/>
        <v>-5.3966391807467309</v>
      </c>
      <c r="X26">
        <v>7</v>
      </c>
      <c r="Y26" s="10">
        <f t="shared" si="17"/>
        <v>-2.6338308063368752</v>
      </c>
      <c r="Z26" s="10">
        <f t="shared" si="18"/>
        <v>-1.4948641572417143</v>
      </c>
    </row>
    <row r="27" spans="1:26" ht="15.75" thickBot="1" x14ac:dyDescent="0.3">
      <c r="A27" s="6">
        <v>43862</v>
      </c>
      <c r="B27" s="5">
        <v>14029.72</v>
      </c>
      <c r="C27">
        <f t="shared" si="0"/>
        <v>1.0979549128564152</v>
      </c>
      <c r="D27" t="str">
        <f t="shared" si="1"/>
        <v>A28</v>
      </c>
      <c r="E27">
        <f t="shared" si="2"/>
        <v>0.6109409685171856</v>
      </c>
      <c r="F27">
        <f t="shared" si="3"/>
        <v>13960.452213780345</v>
      </c>
      <c r="G27">
        <f t="shared" si="4"/>
        <v>0.49372180071772087</v>
      </c>
      <c r="J27" t="s">
        <v>112</v>
      </c>
      <c r="K27" s="10">
        <v>15.874377241459488</v>
      </c>
      <c r="L27" s="10">
        <v>17.867568877376019</v>
      </c>
      <c r="M27" t="s">
        <v>74</v>
      </c>
      <c r="N27">
        <v>21.42268878383566</v>
      </c>
      <c r="P27" t="s">
        <v>125</v>
      </c>
      <c r="Q27" s="10">
        <v>-4.9117641045271965</v>
      </c>
      <c r="R27" s="10">
        <v>-3.7727974554320358</v>
      </c>
      <c r="S27" s="12">
        <f t="shared" si="13"/>
        <v>-4.3422807799796157</v>
      </c>
      <c r="U27" t="s">
        <v>125</v>
      </c>
      <c r="V27">
        <f t="shared" si="14"/>
        <v>-4.1875856006352548</v>
      </c>
      <c r="X27">
        <v>7</v>
      </c>
      <c r="Y27" s="10">
        <f t="shared" si="17"/>
        <v>-1.4948641572417143</v>
      </c>
      <c r="Z27" s="10">
        <f t="shared" si="18"/>
        <v>-0.35589750814655341</v>
      </c>
    </row>
    <row r="28" spans="1:26" ht="15.75" thickBot="1" x14ac:dyDescent="0.3">
      <c r="A28" s="6">
        <v>43891</v>
      </c>
      <c r="B28" s="5">
        <v>12994.57</v>
      </c>
      <c r="C28">
        <f t="shared" si="0"/>
        <v>-7.9660196528242162</v>
      </c>
      <c r="D28" t="str">
        <f t="shared" si="1"/>
        <v>A14</v>
      </c>
      <c r="E28">
        <f t="shared" si="2"/>
        <v>-8.2892438529062726</v>
      </c>
      <c r="F28">
        <f t="shared" si="3"/>
        <v>12866.762297320038</v>
      </c>
      <c r="G28">
        <f t="shared" si="4"/>
        <v>0.98354699447509197</v>
      </c>
      <c r="J28" t="s">
        <v>74</v>
      </c>
      <c r="K28" s="10">
        <v>17.867568877376019</v>
      </c>
      <c r="L28" s="10">
        <v>25.840335421042145</v>
      </c>
      <c r="M28" t="s">
        <v>75</v>
      </c>
      <c r="N28">
        <v>26.942272142041588</v>
      </c>
      <c r="P28" t="s">
        <v>126</v>
      </c>
      <c r="Q28" s="10">
        <v>-3.7727974554320358</v>
      </c>
      <c r="R28" s="10">
        <v>-2.6338308063368752</v>
      </c>
      <c r="S28" s="12">
        <f t="shared" si="13"/>
        <v>-3.2033141308844555</v>
      </c>
      <c r="U28" t="s">
        <v>126</v>
      </c>
      <c r="V28">
        <f t="shared" si="14"/>
        <v>-2.9871663768425667</v>
      </c>
      <c r="X28">
        <v>7</v>
      </c>
      <c r="Y28" s="10">
        <f t="shared" si="17"/>
        <v>-0.35589750814655341</v>
      </c>
      <c r="Z28" s="10">
        <f t="shared" si="18"/>
        <v>0.78306914094860747</v>
      </c>
    </row>
    <row r="29" spans="1:26" ht="15.75" thickBot="1" x14ac:dyDescent="0.3">
      <c r="A29" s="6">
        <v>43922</v>
      </c>
      <c r="B29" s="5">
        <v>12301.19</v>
      </c>
      <c r="C29">
        <f t="shared" si="0"/>
        <v>-5.6366904340149144</v>
      </c>
      <c r="D29" t="str">
        <f t="shared" si="1"/>
        <v>A22</v>
      </c>
      <c r="E29">
        <f t="shared" si="2"/>
        <v>-5.3966391807467309</v>
      </c>
      <c r="F29">
        <f t="shared" si="3"/>
        <v>12293.29994401044</v>
      </c>
      <c r="G29">
        <f t="shared" si="4"/>
        <v>6.4140591191266902E-2</v>
      </c>
      <c r="J29" t="s">
        <v>75</v>
      </c>
      <c r="K29" s="7">
        <v>25.840335421042145</v>
      </c>
      <c r="L29" s="7">
        <v>29.826718692875207</v>
      </c>
      <c r="M29" t="s">
        <v>76</v>
      </c>
      <c r="N29">
        <v>30.727993168948945</v>
      </c>
      <c r="P29" t="s">
        <v>127</v>
      </c>
      <c r="Q29" s="10">
        <v>-2.6338308063368752</v>
      </c>
      <c r="R29" s="10">
        <v>-1.4948641572417143</v>
      </c>
      <c r="S29" s="12">
        <f t="shared" si="13"/>
        <v>-2.0643474817892948</v>
      </c>
      <c r="U29" t="s">
        <v>127</v>
      </c>
      <c r="V29">
        <f t="shared" si="14"/>
        <v>-1.6937368133701793</v>
      </c>
      <c r="X29">
        <v>7</v>
      </c>
      <c r="Y29" s="10">
        <f t="shared" si="17"/>
        <v>0.78306914094860747</v>
      </c>
      <c r="Z29" s="10">
        <f t="shared" si="18"/>
        <v>1.9220357900437683</v>
      </c>
    </row>
    <row r="30" spans="1:26" ht="15.75" thickBot="1" x14ac:dyDescent="0.3">
      <c r="A30" s="6">
        <v>43952</v>
      </c>
      <c r="B30" s="5">
        <v>11347.68</v>
      </c>
      <c r="C30">
        <f t="shared" si="0"/>
        <v>-8.4026867165799537</v>
      </c>
      <c r="D30" t="str">
        <f t="shared" si="1"/>
        <v>A14</v>
      </c>
      <c r="E30">
        <f t="shared" si="2"/>
        <v>-8.2892438529062726</v>
      </c>
      <c r="F30">
        <f t="shared" si="3"/>
        <v>11281.514364090679</v>
      </c>
      <c r="G30">
        <f t="shared" si="4"/>
        <v>0.58307632845939683</v>
      </c>
      <c r="J30" t="s">
        <v>76</v>
      </c>
      <c r="K30" s="7">
        <v>29.826718692875207</v>
      </c>
      <c r="L30" s="7">
        <v>35</v>
      </c>
      <c r="P30" t="s">
        <v>128</v>
      </c>
      <c r="Q30" s="10">
        <v>-1.4948641572417143</v>
      </c>
      <c r="R30" s="10">
        <v>-0.35589750814655341</v>
      </c>
      <c r="S30" s="12">
        <f t="shared" si="13"/>
        <v>-0.92538083269413385</v>
      </c>
      <c r="U30" t="s">
        <v>128</v>
      </c>
      <c r="V30">
        <f t="shared" si="14"/>
        <v>1.9643741875531848</v>
      </c>
    </row>
    <row r="31" spans="1:26" ht="15.75" thickBot="1" x14ac:dyDescent="0.3">
      <c r="A31" s="6">
        <v>43983</v>
      </c>
      <c r="B31" s="5">
        <v>12085.1</v>
      </c>
      <c r="C31">
        <f t="shared" si="0"/>
        <v>6.1018940679017968</v>
      </c>
      <c r="D31" t="str">
        <f t="shared" si="1"/>
        <v>A19</v>
      </c>
      <c r="E31">
        <f t="shared" si="2"/>
        <v>6.4356962082228719</v>
      </c>
      <c r="F31">
        <f t="shared" si="3"/>
        <v>12077.982211481265</v>
      </c>
      <c r="G31">
        <f t="shared" si="4"/>
        <v>5.8897224836661051E-2</v>
      </c>
      <c r="P31" t="s">
        <v>129</v>
      </c>
      <c r="Q31" s="10">
        <v>-0.35589750814655341</v>
      </c>
      <c r="R31" s="10">
        <v>0.78306914094860747</v>
      </c>
      <c r="S31" s="12">
        <f t="shared" si="13"/>
        <v>0.21358581640102703</v>
      </c>
      <c r="U31" t="s">
        <v>129</v>
      </c>
      <c r="V31">
        <f t="shared" si="14"/>
        <v>0.44332999404224049</v>
      </c>
    </row>
    <row r="32" spans="1:26" ht="15.75" thickBot="1" x14ac:dyDescent="0.3">
      <c r="A32" s="6">
        <v>44013</v>
      </c>
      <c r="B32" s="5">
        <v>12595.68</v>
      </c>
      <c r="C32">
        <f t="shared" si="0"/>
        <v>4.0536120320617854</v>
      </c>
      <c r="D32" t="str">
        <f t="shared" si="1"/>
        <v>A17</v>
      </c>
      <c r="E32">
        <f t="shared" si="2"/>
        <v>3.6759563417854726</v>
      </c>
      <c r="F32">
        <f t="shared" si="3"/>
        <v>12529.342999861117</v>
      </c>
      <c r="G32">
        <f t="shared" si="4"/>
        <v>0.52666469884026124</v>
      </c>
      <c r="P32" t="s">
        <v>209</v>
      </c>
      <c r="Q32" s="10">
        <v>0.78306914094860747</v>
      </c>
      <c r="R32" s="10">
        <v>1.9220357900437683</v>
      </c>
      <c r="S32" s="12">
        <f t="shared" si="13"/>
        <v>1.352552465496188</v>
      </c>
      <c r="U32" t="s">
        <v>209</v>
      </c>
      <c r="V32">
        <f t="shared" si="14"/>
        <v>0.6109409685171856</v>
      </c>
    </row>
    <row r="33" spans="1:22" ht="15.75" thickBot="1" x14ac:dyDescent="0.3">
      <c r="A33" s="6">
        <v>44044</v>
      </c>
      <c r="B33" s="5">
        <v>13004.6</v>
      </c>
      <c r="C33">
        <f t="shared" si="0"/>
        <v>3.1444258185565115</v>
      </c>
      <c r="D33" t="str">
        <f t="shared" si="1"/>
        <v>A16</v>
      </c>
      <c r="E33">
        <f t="shared" si="2"/>
        <v>2.2624158150152858</v>
      </c>
      <c r="F33">
        <f t="shared" si="3"/>
        <v>12880.646656328718</v>
      </c>
      <c r="G33">
        <f t="shared" si="4"/>
        <v>0.95314999055167182</v>
      </c>
      <c r="P33" t="s">
        <v>118</v>
      </c>
      <c r="Q33" s="10">
        <v>1.9220357900437683</v>
      </c>
      <c r="R33" s="10">
        <v>3.2508302139881229</v>
      </c>
      <c r="S33" s="12">
        <f t="shared" si="13"/>
        <v>2.5864330020159456</v>
      </c>
      <c r="U33" t="s">
        <v>118</v>
      </c>
      <c r="V33">
        <f t="shared" si="14"/>
        <v>2.2624158150152858</v>
      </c>
    </row>
    <row r="34" spans="1:22" ht="15.75" thickBot="1" x14ac:dyDescent="0.3">
      <c r="A34" s="6">
        <v>44075</v>
      </c>
      <c r="B34" s="5">
        <v>13921.87</v>
      </c>
      <c r="C34">
        <f t="shared" si="0"/>
        <v>6.5886982136738839</v>
      </c>
      <c r="D34" t="str">
        <f t="shared" si="1"/>
        <v>A19</v>
      </c>
      <c r="E34">
        <f t="shared" si="2"/>
        <v>6.4356962082228719</v>
      </c>
      <c r="F34">
        <f t="shared" si="3"/>
        <v>13841.536549094551</v>
      </c>
      <c r="G34">
        <f t="shared" si="4"/>
        <v>0.57703060655967442</v>
      </c>
      <c r="P34" t="s">
        <v>119</v>
      </c>
      <c r="Q34" s="10">
        <v>3.2508302139881229</v>
      </c>
      <c r="R34" s="10">
        <v>4.5796246379324774</v>
      </c>
      <c r="S34" s="12">
        <f t="shared" si="13"/>
        <v>3.9152274259603002</v>
      </c>
      <c r="U34" t="s">
        <v>119</v>
      </c>
      <c r="V34">
        <f t="shared" si="14"/>
        <v>3.6759563417854726</v>
      </c>
    </row>
    <row r="35" spans="1:22" ht="15.75" thickBot="1" x14ac:dyDescent="0.3">
      <c r="A35" s="6">
        <v>44105</v>
      </c>
      <c r="B35" s="5">
        <v>15059.57</v>
      </c>
      <c r="C35">
        <f t="shared" si="0"/>
        <v>7.5546645754161563</v>
      </c>
      <c r="D35" t="str">
        <f t="shared" si="1"/>
        <v>A20</v>
      </c>
      <c r="E35">
        <f t="shared" si="2"/>
        <v>7.7882781128945942</v>
      </c>
      <c r="F35">
        <f t="shared" si="3"/>
        <v>15006.14395411564</v>
      </c>
      <c r="G35">
        <f t="shared" si="4"/>
        <v>0.3547647501512996</v>
      </c>
      <c r="P35" t="s">
        <v>120</v>
      </c>
      <c r="Q35" s="10">
        <v>4.5796246379324774</v>
      </c>
      <c r="R35" s="10">
        <v>5.908419061876832</v>
      </c>
      <c r="S35" s="12">
        <f t="shared" si="13"/>
        <v>5.2440218499046551</v>
      </c>
      <c r="U35" t="s">
        <v>120</v>
      </c>
      <c r="V35">
        <f t="shared" si="14"/>
        <v>5.070084709156089</v>
      </c>
    </row>
    <row r="36" spans="1:22" ht="15.75" thickBot="1" x14ac:dyDescent="0.3">
      <c r="A36" s="6">
        <v>44136</v>
      </c>
      <c r="B36" s="5">
        <v>14732.1</v>
      </c>
      <c r="C36">
        <f t="shared" si="0"/>
        <v>-2.2228331330903224</v>
      </c>
      <c r="D36" t="str">
        <f t="shared" si="1"/>
        <v>A25</v>
      </c>
      <c r="E36">
        <f t="shared" si="2"/>
        <v>-1.6937368133701793</v>
      </c>
      <c r="F36">
        <f t="shared" si="3"/>
        <v>14804.500518974748</v>
      </c>
      <c r="G36">
        <f t="shared" si="4"/>
        <v>0.49144737664520122</v>
      </c>
      <c r="P36" t="s">
        <v>121</v>
      </c>
      <c r="Q36" s="10">
        <v>5.908419061876832</v>
      </c>
      <c r="R36" s="10">
        <v>7.2372134858211865</v>
      </c>
      <c r="S36" s="12">
        <f t="shared" si="13"/>
        <v>6.5728162738490088</v>
      </c>
      <c r="U36" t="s">
        <v>121</v>
      </c>
      <c r="V36">
        <f t="shared" si="14"/>
        <v>6.4356962082228719</v>
      </c>
    </row>
    <row r="37" spans="1:22" ht="15.75" thickBot="1" x14ac:dyDescent="0.3">
      <c r="A37" s="6">
        <v>44166</v>
      </c>
      <c r="B37" s="5">
        <v>15646.7</v>
      </c>
      <c r="C37">
        <f t="shared" si="0"/>
        <v>5.8453220167830935</v>
      </c>
      <c r="D37" t="str">
        <f t="shared" si="1"/>
        <v>A18</v>
      </c>
      <c r="E37">
        <f t="shared" si="2"/>
        <v>5.070084709156089</v>
      </c>
      <c r="F37">
        <f t="shared" si="3"/>
        <v>15479.029949437585</v>
      </c>
      <c r="G37">
        <f t="shared" si="4"/>
        <v>1.0716000854008563</v>
      </c>
      <c r="P37" t="s">
        <v>122</v>
      </c>
      <c r="Q37" s="10">
        <v>7.2372134858211865</v>
      </c>
      <c r="R37" s="10">
        <v>8.5660079097655402</v>
      </c>
      <c r="S37" s="12">
        <f t="shared" si="13"/>
        <v>7.9016106977933633</v>
      </c>
      <c r="U37" t="s">
        <v>122</v>
      </c>
      <c r="V37">
        <f t="shared" si="14"/>
        <v>7.7882781128945942</v>
      </c>
    </row>
    <row r="38" spans="1:22" ht="15.75" thickBot="1" x14ac:dyDescent="0.3">
      <c r="A38" s="6">
        <v>44197</v>
      </c>
      <c r="B38" s="5">
        <v>16541.57</v>
      </c>
      <c r="C38">
        <f t="shared" si="0"/>
        <v>5.4098250649726651</v>
      </c>
      <c r="D38" t="str">
        <f t="shared" si="1"/>
        <v>A18</v>
      </c>
      <c r="E38">
        <f t="shared" si="2"/>
        <v>5.070084709156089</v>
      </c>
      <c r="F38">
        <f t="shared" si="3"/>
        <v>16440.000944187526</v>
      </c>
      <c r="G38">
        <f t="shared" si="4"/>
        <v>0.61402306922785066</v>
      </c>
      <c r="P38" t="s">
        <v>123</v>
      </c>
      <c r="Q38" s="10">
        <v>8.5660079097655402</v>
      </c>
      <c r="R38" s="10">
        <v>9.8948023337098938</v>
      </c>
      <c r="S38" s="12">
        <f t="shared" si="13"/>
        <v>9.2304051217377179</v>
      </c>
      <c r="U38" t="s">
        <v>123</v>
      </c>
      <c r="V38">
        <f t="shared" si="14"/>
        <v>9.1944032720226581</v>
      </c>
    </row>
    <row r="39" spans="1:22" ht="15.75" thickBot="1" x14ac:dyDescent="0.3">
      <c r="A39" s="6">
        <v>44228</v>
      </c>
      <c r="B39" s="5">
        <v>17434.05</v>
      </c>
      <c r="C39">
        <f t="shared" si="0"/>
        <v>5.1191777011078878</v>
      </c>
      <c r="D39" t="str">
        <f t="shared" si="1"/>
        <v>A18</v>
      </c>
      <c r="E39">
        <f t="shared" si="2"/>
        <v>5.070084709156089</v>
      </c>
      <c r="F39">
        <f t="shared" si="3"/>
        <v>17380.241611224352</v>
      </c>
      <c r="G39">
        <f t="shared" si="4"/>
        <v>0.30863963781019027</v>
      </c>
      <c r="P39" t="s">
        <v>80</v>
      </c>
      <c r="Q39" s="10">
        <v>9.8948023337098938</v>
      </c>
      <c r="R39" s="10">
        <v>11.887993969626425</v>
      </c>
      <c r="S39" s="12">
        <f t="shared" si="13"/>
        <v>10.891398151668159</v>
      </c>
      <c r="U39" t="s">
        <v>80</v>
      </c>
      <c r="V39">
        <f t="shared" si="14"/>
        <v>10.823071473509868</v>
      </c>
    </row>
    <row r="40" spans="1:22" ht="15.75" thickBot="1" x14ac:dyDescent="0.3">
      <c r="A40" s="6">
        <v>44256</v>
      </c>
      <c r="B40" s="5">
        <v>18210.39</v>
      </c>
      <c r="C40">
        <f t="shared" si="0"/>
        <v>4.263170640496992</v>
      </c>
      <c r="D40" t="str">
        <f t="shared" si="1"/>
        <v>A17</v>
      </c>
      <c r="E40">
        <f t="shared" si="2"/>
        <v>3.6759563417854726</v>
      </c>
      <c r="F40">
        <f t="shared" si="3"/>
        <v>18074.918066605049</v>
      </c>
      <c r="G40">
        <f t="shared" si="4"/>
        <v>0.74392659023200824</v>
      </c>
      <c r="P40" t="s">
        <v>110</v>
      </c>
      <c r="Q40" s="10">
        <v>11.887993969626425</v>
      </c>
      <c r="R40" s="10">
        <v>13.881185605542957</v>
      </c>
      <c r="S40" s="12">
        <f t="shared" si="13"/>
        <v>12.884589787584691</v>
      </c>
      <c r="U40" t="s">
        <v>110</v>
      </c>
      <c r="V40">
        <f t="shared" si="14"/>
        <v>12.728553588339425</v>
      </c>
    </row>
    <row r="41" spans="1:22" ht="15.75" thickBot="1" x14ac:dyDescent="0.3">
      <c r="A41" s="6">
        <v>44287</v>
      </c>
      <c r="B41" s="5">
        <v>17251.599999999999</v>
      </c>
      <c r="C41">
        <f t="shared" si="0"/>
        <v>-5.557687402907562</v>
      </c>
      <c r="D41" t="str">
        <f t="shared" si="1"/>
        <v>A22</v>
      </c>
      <c r="E41">
        <f t="shared" si="2"/>
        <v>-5.3966391807467309</v>
      </c>
      <c r="F41">
        <f t="shared" si="3"/>
        <v>17227.640958293214</v>
      </c>
      <c r="G41">
        <f t="shared" si="4"/>
        <v>0.13888011376791007</v>
      </c>
      <c r="P41" t="s">
        <v>111</v>
      </c>
      <c r="Q41" s="10">
        <v>13.881185605542957</v>
      </c>
      <c r="R41" s="10">
        <v>15.874377241459488</v>
      </c>
      <c r="S41" s="12">
        <f t="shared" si="13"/>
        <v>14.877781423501222</v>
      </c>
      <c r="U41" t="s">
        <v>111</v>
      </c>
      <c r="V41">
        <f t="shared" si="14"/>
        <v>14.743057430674716</v>
      </c>
    </row>
    <row r="42" spans="1:22" ht="15.75" thickBot="1" x14ac:dyDescent="0.3">
      <c r="A42" s="6">
        <v>44317</v>
      </c>
      <c r="B42" s="5">
        <v>16301.95</v>
      </c>
      <c r="C42">
        <f t="shared" si="0"/>
        <v>-5.8253767187360879</v>
      </c>
      <c r="D42" t="str">
        <f t="shared" si="1"/>
        <v>A22</v>
      </c>
      <c r="E42">
        <f t="shared" si="2"/>
        <v>-5.3966391807467309</v>
      </c>
      <c r="F42">
        <f t="shared" si="3"/>
        <v>16320.593395094296</v>
      </c>
      <c r="G42">
        <f t="shared" si="4"/>
        <v>0.11436297555995176</v>
      </c>
      <c r="P42" t="s">
        <v>112</v>
      </c>
      <c r="Q42" s="10">
        <v>15.874377241459488</v>
      </c>
      <c r="R42" s="10">
        <v>17.867568877376019</v>
      </c>
      <c r="S42" s="12">
        <f t="shared" si="13"/>
        <v>16.870973059417754</v>
      </c>
      <c r="U42" t="s">
        <v>112</v>
      </c>
      <c r="V42">
        <f t="shared" si="14"/>
        <v>17.277166567498583</v>
      </c>
    </row>
    <row r="43" spans="1:22" ht="15.75" thickBot="1" x14ac:dyDescent="0.3">
      <c r="A43" s="6">
        <v>44348</v>
      </c>
      <c r="B43" s="5">
        <v>17322.48</v>
      </c>
      <c r="C43">
        <f t="shared" si="0"/>
        <v>5.8913619758833544</v>
      </c>
      <c r="D43" t="str">
        <f t="shared" si="1"/>
        <v>A18</v>
      </c>
      <c r="E43">
        <f t="shared" si="2"/>
        <v>5.070084709156089</v>
      </c>
      <c r="F43">
        <f t="shared" si="3"/>
        <v>17128.472674244273</v>
      </c>
      <c r="G43">
        <f t="shared" si="4"/>
        <v>1.1199743094275585</v>
      </c>
      <c r="P43" t="s">
        <v>74</v>
      </c>
      <c r="Q43" s="10">
        <v>17.867568877376019</v>
      </c>
      <c r="R43" s="10">
        <v>25.840335421042145</v>
      </c>
      <c r="S43" s="12">
        <f t="shared" si="13"/>
        <v>21.853952149209082</v>
      </c>
      <c r="U43" t="s">
        <v>74</v>
      </c>
      <c r="V43">
        <f t="shared" si="14"/>
        <v>21.42268878383566</v>
      </c>
    </row>
    <row r="44" spans="1:22" ht="15.75" thickBot="1" x14ac:dyDescent="0.3">
      <c r="A44" s="6">
        <v>44378</v>
      </c>
      <c r="B44" s="5">
        <v>17650.95</v>
      </c>
      <c r="C44">
        <f t="shared" si="0"/>
        <v>1.8609196672133861</v>
      </c>
      <c r="D44" t="str">
        <f t="shared" si="1"/>
        <v>A28</v>
      </c>
      <c r="E44">
        <f t="shared" si="2"/>
        <v>0.6109409685171856</v>
      </c>
      <c r="F44">
        <f t="shared" si="3"/>
        <v>17428.310127083194</v>
      </c>
      <c r="G44">
        <f t="shared" si="4"/>
        <v>1.2613478193344085</v>
      </c>
      <c r="P44" t="s">
        <v>75</v>
      </c>
      <c r="Q44" s="7">
        <v>25.840335421042145</v>
      </c>
      <c r="R44" s="7">
        <v>29.826718692875207</v>
      </c>
      <c r="S44" s="12">
        <f t="shared" si="13"/>
        <v>27.833527056958676</v>
      </c>
      <c r="U44" t="s">
        <v>75</v>
      </c>
      <c r="V44">
        <f t="shared" si="14"/>
        <v>26.942272142041588</v>
      </c>
    </row>
    <row r="45" spans="1:22" ht="15.75" thickBot="1" x14ac:dyDescent="0.3">
      <c r="A45" s="6">
        <v>44409</v>
      </c>
      <c r="B45" s="5">
        <v>18356.86</v>
      </c>
      <c r="C45">
        <f t="shared" si="0"/>
        <v>3.8454833778761714</v>
      </c>
      <c r="D45" t="str">
        <f t="shared" si="1"/>
        <v>A17</v>
      </c>
      <c r="E45">
        <f t="shared" si="2"/>
        <v>3.6759563417854726</v>
      </c>
      <c r="F45">
        <f t="shared" si="3"/>
        <v>18299.791215910383</v>
      </c>
      <c r="G45">
        <f t="shared" si="4"/>
        <v>0.3108853261920454</v>
      </c>
      <c r="P45" t="s">
        <v>76</v>
      </c>
      <c r="Q45" s="7">
        <v>29.826718692875207</v>
      </c>
      <c r="R45" s="7">
        <v>35</v>
      </c>
      <c r="S45" s="12">
        <f t="shared" si="13"/>
        <v>32.413359346437602</v>
      </c>
      <c r="U45" t="s">
        <v>76</v>
      </c>
      <c r="V45">
        <f>((0.5+1)/((0.5/S44)+(1/S45)))</f>
        <v>30.727993168948945</v>
      </c>
    </row>
    <row r="46" spans="1:22" ht="15.75" thickBot="1" x14ac:dyDescent="0.3">
      <c r="A46" s="6">
        <v>44440</v>
      </c>
      <c r="B46" s="5">
        <v>19239.259999999998</v>
      </c>
      <c r="C46">
        <f t="shared" si="0"/>
        <v>4.5864549883935135</v>
      </c>
      <c r="D46" t="str">
        <f t="shared" si="1"/>
        <v>A18</v>
      </c>
      <c r="E46">
        <f t="shared" si="2"/>
        <v>5.070084709156089</v>
      </c>
      <c r="F46">
        <f t="shared" si="3"/>
        <v>19287.56835194119</v>
      </c>
      <c r="G46">
        <f t="shared" si="4"/>
        <v>0.25109256770370636</v>
      </c>
    </row>
    <row r="47" spans="1:22" ht="15.75" thickBot="1" x14ac:dyDescent="0.3">
      <c r="A47" s="6">
        <v>44470</v>
      </c>
      <c r="B47" s="5">
        <v>19499.7</v>
      </c>
      <c r="C47">
        <f t="shared" si="0"/>
        <v>1.3356102914403931</v>
      </c>
      <c r="D47" t="str">
        <f t="shared" si="1"/>
        <v>A28</v>
      </c>
      <c r="E47">
        <f t="shared" si="2"/>
        <v>0.6109409685171856</v>
      </c>
      <c r="F47">
        <f t="shared" si="3"/>
        <v>19356.800521379537</v>
      </c>
      <c r="G47">
        <f t="shared" si="4"/>
        <v>0.7328291133733541</v>
      </c>
    </row>
    <row r="48" spans="1:22" ht="15.75" thickBot="1" x14ac:dyDescent="0.3">
      <c r="A48" s="6">
        <v>44501</v>
      </c>
      <c r="B48" s="5">
        <v>18951.82</v>
      </c>
      <c r="C48">
        <f t="shared" si="0"/>
        <v>-2.8909096857188441</v>
      </c>
      <c r="D48" t="str">
        <f t="shared" si="1"/>
        <v>A24</v>
      </c>
      <c r="E48">
        <f t="shared" si="2"/>
        <v>-2.9871663768425667</v>
      </c>
      <c r="F48">
        <f t="shared" si="3"/>
        <v>18917.211518014832</v>
      </c>
      <c r="G48">
        <f t="shared" si="4"/>
        <v>0.1826129732403938</v>
      </c>
    </row>
    <row r="49" spans="1:7" ht="15.75" thickBot="1" x14ac:dyDescent="0.3">
      <c r="A49" s="6">
        <v>44531</v>
      </c>
      <c r="B49" s="5">
        <v>19829.349999999999</v>
      </c>
      <c r="C49">
        <f t="shared" si="0"/>
        <v>4.4254098091969674</v>
      </c>
      <c r="D49" t="str">
        <f t="shared" si="1"/>
        <v>A17</v>
      </c>
      <c r="E49">
        <f t="shared" si="2"/>
        <v>3.6759563417854726</v>
      </c>
      <c r="F49">
        <f t="shared" si="3"/>
        <v>19648.480629173766</v>
      </c>
      <c r="G49">
        <f t="shared" si="4"/>
        <v>0.91212959994267406</v>
      </c>
    </row>
    <row r="50" spans="1:7" ht="15.75" thickBot="1" x14ac:dyDescent="0.3">
      <c r="A50" s="6">
        <v>44562</v>
      </c>
      <c r="B50" s="5">
        <v>20189.75</v>
      </c>
      <c r="C50">
        <f t="shared" si="0"/>
        <v>1.7850642033705295</v>
      </c>
      <c r="D50" t="str">
        <f t="shared" si="1"/>
        <v>A28</v>
      </c>
      <c r="E50">
        <f t="shared" si="2"/>
        <v>0.6109409685171856</v>
      </c>
      <c r="F50">
        <f t="shared" si="3"/>
        <v>19950.49562294066</v>
      </c>
      <c r="G50">
        <f t="shared" si="4"/>
        <v>1.1850289233860756</v>
      </c>
    </row>
    <row r="51" spans="1:7" ht="15.75" thickBot="1" x14ac:dyDescent="0.3">
      <c r="A51" s="6">
        <v>44593</v>
      </c>
      <c r="B51" s="5">
        <v>21113.75</v>
      </c>
      <c r="C51">
        <f t="shared" si="0"/>
        <v>4.3762950683796102</v>
      </c>
      <c r="D51" t="str">
        <f t="shared" si="1"/>
        <v>A17</v>
      </c>
      <c r="E51">
        <f t="shared" si="2"/>
        <v>3.6759563417854726</v>
      </c>
      <c r="F51">
        <f t="shared" si="3"/>
        <v>20931.916395515633</v>
      </c>
      <c r="G51">
        <f t="shared" si="4"/>
        <v>0.86120942269548151</v>
      </c>
    </row>
    <row r="52" spans="1:7" ht="15.75" thickBot="1" x14ac:dyDescent="0.3">
      <c r="A52" s="6">
        <v>44621</v>
      </c>
      <c r="B52" s="5">
        <v>23537.05</v>
      </c>
      <c r="C52">
        <f t="shared" si="0"/>
        <v>10.29568276398274</v>
      </c>
      <c r="D52" t="str">
        <f t="shared" si="1"/>
        <v>A7</v>
      </c>
      <c r="E52">
        <f t="shared" si="2"/>
        <v>10.823071473509868</v>
      </c>
      <c r="F52">
        <f t="shared" si="3"/>
        <v>23398.90625323819</v>
      </c>
      <c r="G52">
        <f t="shared" si="4"/>
        <v>0.58692039470455681</v>
      </c>
    </row>
    <row r="53" spans="1:7" ht="15.75" thickBot="1" x14ac:dyDescent="0.3">
      <c r="A53" s="6">
        <v>44652</v>
      </c>
      <c r="B53" s="5">
        <v>35995.300000000003</v>
      </c>
      <c r="C53">
        <f t="shared" si="0"/>
        <v>34.610768628126458</v>
      </c>
      <c r="D53" t="str">
        <f t="shared" si="1"/>
        <v>A3</v>
      </c>
      <c r="E53">
        <f t="shared" si="2"/>
        <v>30.727993168948945</v>
      </c>
      <c r="F53">
        <f t="shared" si="3"/>
        <v>30769.513116172096</v>
      </c>
      <c r="G53">
        <f t="shared" si="4"/>
        <v>14.517970078948936</v>
      </c>
    </row>
    <row r="54" spans="1:7" ht="15.75" thickBot="1" x14ac:dyDescent="0.3">
      <c r="A54" s="6">
        <v>44682</v>
      </c>
      <c r="B54" s="5">
        <v>33415.75</v>
      </c>
      <c r="C54">
        <f t="shared" si="0"/>
        <v>-7.7195633795440868</v>
      </c>
      <c r="D54" t="str">
        <f t="shared" si="1"/>
        <v>A14</v>
      </c>
      <c r="E54">
        <f t="shared" si="2"/>
        <v>-8.2892438529062726</v>
      </c>
      <c r="F54">
        <f t="shared" si="3"/>
        <v>33011.56180741483</v>
      </c>
      <c r="G54">
        <f t="shared" si="4"/>
        <v>1.2095739062722528</v>
      </c>
    </row>
    <row r="55" spans="1:7" ht="15.75" thickBot="1" x14ac:dyDescent="0.3">
      <c r="A55" s="6">
        <v>44713</v>
      </c>
      <c r="B55" s="5">
        <v>30048.81</v>
      </c>
      <c r="C55">
        <f t="shared" si="0"/>
        <v>-11.204902956223552</v>
      </c>
      <c r="D55" t="str">
        <f t="shared" si="1"/>
        <v>A12</v>
      </c>
      <c r="E55">
        <f t="shared" si="2"/>
        <v>-11.521334127448368</v>
      </c>
      <c r="F55">
        <f t="shared" si="3"/>
        <v>29565.809791307172</v>
      </c>
      <c r="G55">
        <f t="shared" si="4"/>
        <v>1.6073854794676692</v>
      </c>
    </row>
    <row r="56" spans="1:7" ht="15.75" thickBot="1" x14ac:dyDescent="0.3">
      <c r="A56" s="6">
        <v>44743</v>
      </c>
      <c r="B56" s="5">
        <v>27414.47</v>
      </c>
      <c r="C56">
        <f t="shared" si="0"/>
        <v>-9.6093048671012067</v>
      </c>
      <c r="D56" t="str">
        <f t="shared" si="1"/>
        <v>A13</v>
      </c>
      <c r="E56">
        <f t="shared" si="2"/>
        <v>-9.9088353295920815</v>
      </c>
      <c r="F56">
        <f t="shared" si="3"/>
        <v>27071.322898598002</v>
      </c>
      <c r="G56">
        <f t="shared" si="4"/>
        <v>1.2517006580904133</v>
      </c>
    </row>
    <row r="57" spans="1:7" ht="15.75" thickBot="1" x14ac:dyDescent="0.3">
      <c r="A57" s="6">
        <v>44774</v>
      </c>
      <c r="B57" s="5">
        <v>22504.77</v>
      </c>
      <c r="C57">
        <f t="shared" si="0"/>
        <v>-21.816263840954608</v>
      </c>
      <c r="D57" t="str">
        <f t="shared" si="1"/>
        <v>A4</v>
      </c>
      <c r="E57">
        <f t="shared" si="2"/>
        <v>-19.698545098451579</v>
      </c>
      <c r="F57">
        <f t="shared" si="3"/>
        <v>22014.218263548522</v>
      </c>
      <c r="G57">
        <f t="shared" si="4"/>
        <v>2.1797678290045979</v>
      </c>
    </row>
    <row r="58" spans="1:7" ht="15.75" thickBot="1" x14ac:dyDescent="0.3">
      <c r="A58" s="6">
        <v>44805</v>
      </c>
      <c r="B58" s="5">
        <v>22059.13</v>
      </c>
      <c r="C58">
        <f t="shared" si="0"/>
        <v>-2.0202065992629783</v>
      </c>
      <c r="D58" t="str">
        <f t="shared" si="1"/>
        <v>A25</v>
      </c>
      <c r="E58">
        <f t="shared" si="2"/>
        <v>-1.6937368133701793</v>
      </c>
      <c r="F58">
        <f t="shared" si="3"/>
        <v>22123.598425745713</v>
      </c>
      <c r="G58">
        <f t="shared" si="4"/>
        <v>0.29225280301495121</v>
      </c>
    </row>
    <row r="59" spans="1:7" ht="15.75" thickBot="1" x14ac:dyDescent="0.3">
      <c r="A59" s="6">
        <v>44835</v>
      </c>
      <c r="B59" s="5">
        <v>22081.25</v>
      </c>
      <c r="C59">
        <f t="shared" si="0"/>
        <v>0.10017548825360421</v>
      </c>
      <c r="D59" t="str">
        <f t="shared" si="1"/>
        <v>A27</v>
      </c>
      <c r="E59">
        <f t="shared" si="2"/>
        <v>0.44332999404224049</v>
      </c>
      <c r="F59">
        <f t="shared" si="3"/>
        <v>22156.92473971477</v>
      </c>
      <c r="G59">
        <f t="shared" si="4"/>
        <v>0.34271039780252527</v>
      </c>
    </row>
    <row r="60" spans="1:7" ht="15.75" thickBot="1" x14ac:dyDescent="0.3">
      <c r="A60" s="6">
        <v>44866</v>
      </c>
      <c r="B60" s="5">
        <v>22374.77</v>
      </c>
      <c r="C60">
        <f t="shared" si="0"/>
        <v>1.311834713831697</v>
      </c>
      <c r="D60" t="str">
        <f t="shared" si="1"/>
        <v>A28</v>
      </c>
      <c r="E60">
        <f t="shared" si="2"/>
        <v>0.6109409685171856</v>
      </c>
      <c r="F60">
        <f t="shared" si="3"/>
        <v>22216.1534026107</v>
      </c>
      <c r="G60">
        <f t="shared" si="4"/>
        <v>0.70890828102054371</v>
      </c>
    </row>
    <row r="61" spans="1:7" ht="15.75" thickBot="1" x14ac:dyDescent="0.3">
      <c r="A61" s="6">
        <v>44896</v>
      </c>
      <c r="B61" s="5">
        <v>23907.73</v>
      </c>
      <c r="C61">
        <f t="shared" si="0"/>
        <v>6.411984743009894</v>
      </c>
      <c r="D61" t="str">
        <f t="shared" si="1"/>
        <v>A19</v>
      </c>
      <c r="E61">
        <f t="shared" si="2"/>
        <v>6.4356962082228719</v>
      </c>
      <c r="F61">
        <f t="shared" si="3"/>
        <v>23814.742224488589</v>
      </c>
      <c r="G61">
        <f t="shared" si="4"/>
        <v>0.38894439376473755</v>
      </c>
    </row>
    <row r="62" spans="1:7" ht="15.75" thickBot="1" x14ac:dyDescent="0.3">
      <c r="A62" s="6">
        <v>44927</v>
      </c>
      <c r="B62" s="5">
        <v>27482.62</v>
      </c>
      <c r="C62">
        <f t="shared" si="0"/>
        <v>13.00782094283587</v>
      </c>
      <c r="D62" t="str">
        <f t="shared" si="1"/>
        <v>A8</v>
      </c>
      <c r="E62">
        <f t="shared" si="2"/>
        <v>12.728553588339425</v>
      </c>
      <c r="F62">
        <f t="shared" si="3"/>
        <v>26950.838224805499</v>
      </c>
      <c r="G62">
        <f t="shared" si="4"/>
        <v>1.9349748138805558</v>
      </c>
    </row>
    <row r="63" spans="1:7" ht="15.75" thickBot="1" x14ac:dyDescent="0.3">
      <c r="A63" s="6">
        <v>44958</v>
      </c>
      <c r="B63" s="5">
        <v>28444.5</v>
      </c>
      <c r="C63">
        <f t="shared" si="0"/>
        <v>3.3816027703070928</v>
      </c>
      <c r="D63" t="str">
        <f t="shared" si="1"/>
        <v>A17</v>
      </c>
      <c r="E63">
        <f t="shared" si="2"/>
        <v>3.6759563417854726</v>
      </c>
      <c r="F63">
        <f t="shared" si="3"/>
        <v>28492.869112778801</v>
      </c>
      <c r="G63">
        <f t="shared" si="4"/>
        <v>0.17004732998927957</v>
      </c>
    </row>
    <row r="64" spans="1:7" ht="15.75" thickBot="1" x14ac:dyDescent="0.3">
      <c r="A64" s="6">
        <v>44986</v>
      </c>
      <c r="B64" s="5">
        <v>27860</v>
      </c>
      <c r="C64">
        <f t="shared" si="0"/>
        <v>-2.0979899497487438</v>
      </c>
      <c r="D64" t="str">
        <f t="shared" si="1"/>
        <v>A25</v>
      </c>
      <c r="E64">
        <f t="shared" si="2"/>
        <v>-1.6937368133701793</v>
      </c>
      <c r="F64">
        <f t="shared" si="3"/>
        <v>27962.725032120918</v>
      </c>
      <c r="G64">
        <f t="shared" si="4"/>
        <v>0.36871870825885716</v>
      </c>
    </row>
    <row r="65" spans="1:7" ht="15.75" thickBot="1" x14ac:dyDescent="0.3">
      <c r="A65" s="6">
        <v>45017</v>
      </c>
      <c r="B65" s="5">
        <v>24227</v>
      </c>
      <c r="C65">
        <f t="shared" si="0"/>
        <v>-14.995665992487719</v>
      </c>
      <c r="D65" t="str">
        <f t="shared" si="1"/>
        <v>A6</v>
      </c>
      <c r="E65">
        <f t="shared" si="2"/>
        <v>-15.301857346587797</v>
      </c>
      <c r="F65">
        <f t="shared" si="3"/>
        <v>23596.902543240642</v>
      </c>
      <c r="G65">
        <f t="shared" si="4"/>
        <v>2.6008067724413197</v>
      </c>
    </row>
    <row r="66" spans="1:7" ht="15.75" thickBot="1" x14ac:dyDescent="0.3">
      <c r="A66" s="6">
        <v>45047</v>
      </c>
      <c r="B66" s="5">
        <v>23278.57</v>
      </c>
      <c r="C66">
        <f t="shared" si="0"/>
        <v>-4.0742622936030877</v>
      </c>
      <c r="D66" t="str">
        <f t="shared" si="1"/>
        <v>A23</v>
      </c>
      <c r="E66">
        <f t="shared" si="2"/>
        <v>-4.1875856006352548</v>
      </c>
      <c r="F66">
        <f t="shared" si="3"/>
        <v>23212.473636534098</v>
      </c>
      <c r="G66">
        <f t="shared" si="4"/>
        <v>0.28393652817119763</v>
      </c>
    </row>
    <row r="67" spans="1:7" ht="15.75" thickBot="1" x14ac:dyDescent="0.3">
      <c r="A67" s="6">
        <v>45078</v>
      </c>
      <c r="B67" s="5">
        <v>23317</v>
      </c>
      <c r="C67">
        <f t="shared" si="0"/>
        <v>0.16481537075953293</v>
      </c>
      <c r="D67" t="str">
        <f t="shared" si="1"/>
        <v>A27</v>
      </c>
      <c r="E67">
        <f t="shared" si="2"/>
        <v>0.44332999404224049</v>
      </c>
      <c r="F67">
        <f t="shared" si="3"/>
        <v>23381.770882994118</v>
      </c>
      <c r="G67">
        <f t="shared" si="4"/>
        <v>0.27778394730933842</v>
      </c>
    </row>
    <row r="68" spans="1:7" ht="15.75" thickBot="1" x14ac:dyDescent="0.3">
      <c r="A68" s="6">
        <v>45108</v>
      </c>
      <c r="B68" s="5">
        <v>21376.75</v>
      </c>
      <c r="C68">
        <f t="shared" ref="C68:C74" si="19">((B68-B67)/B68)*100</f>
        <v>-9.0764498812962682</v>
      </c>
      <c r="D68" t="str">
        <f t="shared" ref="D68:D74" si="20">VLOOKUP(C68,$L$2:$M$38,2,TRUE)</f>
        <v>A14</v>
      </c>
      <c r="E68">
        <f t="shared" ref="E68:E74" si="21">VLOOKUP(D68,$M$2:$N$37,2,FALSE)</f>
        <v>-8.2892438529062726</v>
      </c>
      <c r="F68">
        <f t="shared" ref="F68:F74" si="22">(E68*B67/100)+B67</f>
        <v>21384.197010817843</v>
      </c>
      <c r="G68">
        <f t="shared" ref="G68:G74" si="23">ABS((F68-B68)/B68)*100</f>
        <v>3.4836964542519167E-2</v>
      </c>
    </row>
    <row r="69" spans="1:7" ht="15.75" thickBot="1" x14ac:dyDescent="0.3">
      <c r="A69" s="6">
        <v>45139</v>
      </c>
      <c r="B69" s="5">
        <v>20663.86</v>
      </c>
      <c r="C69">
        <f t="shared" si="19"/>
        <v>-3.4499362655379944</v>
      </c>
      <c r="D69" t="str">
        <f t="shared" si="20"/>
        <v>A24</v>
      </c>
      <c r="E69">
        <f t="shared" si="21"/>
        <v>-2.9871663768425667</v>
      </c>
      <c r="F69">
        <f t="shared" si="22"/>
        <v>20738.190911538306</v>
      </c>
      <c r="G69">
        <f t="shared" si="23"/>
        <v>0.35971455254877538</v>
      </c>
    </row>
    <row r="70" spans="1:7" ht="15.75" thickBot="1" x14ac:dyDescent="0.3">
      <c r="A70" s="6">
        <v>45170</v>
      </c>
      <c r="B70" s="5">
        <v>20827.73</v>
      </c>
      <c r="C70">
        <f t="shared" si="19"/>
        <v>0.78678761439676326</v>
      </c>
      <c r="D70" t="str">
        <f t="shared" si="20"/>
        <v>A28</v>
      </c>
      <c r="E70">
        <f t="shared" si="21"/>
        <v>0.6109409685171856</v>
      </c>
      <c r="F70">
        <f t="shared" si="22"/>
        <v>20790.103986417034</v>
      </c>
      <c r="G70">
        <f t="shared" si="23"/>
        <v>0.18065345375115408</v>
      </c>
    </row>
    <row r="71" spans="1:7" ht="15.75" thickBot="1" x14ac:dyDescent="0.3">
      <c r="A71" s="6">
        <v>45200</v>
      </c>
      <c r="B71" s="5">
        <v>20190</v>
      </c>
      <c r="C71">
        <f t="shared" si="19"/>
        <v>-3.1586428925210477</v>
      </c>
      <c r="D71" t="str">
        <f t="shared" si="20"/>
        <v>A24</v>
      </c>
      <c r="E71">
        <f t="shared" si="21"/>
        <v>-2.9871663768425667</v>
      </c>
      <c r="F71">
        <f t="shared" si="22"/>
        <v>20205.571052380448</v>
      </c>
      <c r="G71">
        <f t="shared" si="23"/>
        <v>7.7122597228569761E-2</v>
      </c>
    </row>
    <row r="72" spans="1:7" ht="15.75" thickBot="1" x14ac:dyDescent="0.3">
      <c r="A72" s="6">
        <v>45231</v>
      </c>
      <c r="B72" s="5">
        <v>18563.64</v>
      </c>
      <c r="C72">
        <f t="shared" si="19"/>
        <v>-8.7609973044079741</v>
      </c>
      <c r="D72" t="str">
        <f t="shared" si="20"/>
        <v>A14</v>
      </c>
      <c r="E72">
        <f t="shared" si="21"/>
        <v>-8.2892438529062726</v>
      </c>
      <c r="F72">
        <f t="shared" si="22"/>
        <v>18516.401666098223</v>
      </c>
      <c r="G72">
        <f t="shared" si="23"/>
        <v>0.25446697900722087</v>
      </c>
    </row>
    <row r="73" spans="1:7" ht="15.75" thickBot="1" x14ac:dyDescent="0.3">
      <c r="A73" s="6">
        <v>45261</v>
      </c>
      <c r="B73" s="5">
        <v>17653.330000000002</v>
      </c>
      <c r="C73">
        <f t="shared" si="19"/>
        <v>-5.1565908528305853</v>
      </c>
      <c r="D73" t="str">
        <f t="shared" si="20"/>
        <v>A22</v>
      </c>
      <c r="E73">
        <f t="shared" si="21"/>
        <v>-5.3966391807467309</v>
      </c>
      <c r="F73">
        <f t="shared" si="22"/>
        <v>17561.827330387227</v>
      </c>
      <c r="G73">
        <f t="shared" si="23"/>
        <v>0.51833093027080557</v>
      </c>
    </row>
    <row r="74" spans="1:7" ht="15.75" thickBot="1" x14ac:dyDescent="0.3">
      <c r="A74" s="6">
        <v>45292</v>
      </c>
      <c r="B74" s="5">
        <v>16368.86</v>
      </c>
      <c r="C74">
        <f t="shared" si="19"/>
        <v>-7.847033941276309</v>
      </c>
      <c r="D74" t="str">
        <f t="shared" si="20"/>
        <v>A14</v>
      </c>
      <c r="E74">
        <f t="shared" si="21"/>
        <v>-8.2892438529062726</v>
      </c>
      <c r="F74">
        <f t="shared" si="22"/>
        <v>16190.002428141743</v>
      </c>
      <c r="G74">
        <f t="shared" si="23"/>
        <v>1.0926696902426793</v>
      </c>
    </row>
    <row r="75" spans="1:7" x14ac:dyDescent="0.25">
      <c r="G75">
        <f>AVERAGE(G3:G74)</f>
        <v>0.83897103011710239</v>
      </c>
    </row>
  </sheetData>
  <sortState xmlns:xlrd2="http://schemas.microsoft.com/office/spreadsheetml/2017/richdata2" ref="P18:S45">
    <sortCondition ref="R18:R45"/>
  </sortState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4"/>
  <sheetViews>
    <sheetView topLeftCell="A43" workbookViewId="0">
      <selection activeCell="H3" sqref="H3"/>
    </sheetView>
  </sheetViews>
  <sheetFormatPr defaultRowHeight="15" x14ac:dyDescent="0.25"/>
  <cols>
    <col min="1" max="1" width="12.42578125" customWidth="1"/>
    <col min="2" max="2" width="12" customWidth="1"/>
    <col min="3" max="3" width="11.7109375" customWidth="1"/>
    <col min="4" max="4" width="12.140625" customWidth="1"/>
    <col min="10" max="10" width="15" customWidth="1"/>
    <col min="16" max="16" width="21.42578125" customWidth="1"/>
  </cols>
  <sheetData>
    <row r="1" spans="1:17" x14ac:dyDescent="0.25">
      <c r="A1" t="s">
        <v>0</v>
      </c>
      <c r="B1" t="s">
        <v>1</v>
      </c>
      <c r="D1" t="s">
        <v>130</v>
      </c>
      <c r="E1" t="s">
        <v>81</v>
      </c>
      <c r="G1" t="s">
        <v>146</v>
      </c>
      <c r="H1" t="s">
        <v>147</v>
      </c>
    </row>
    <row r="2" spans="1:17" x14ac:dyDescent="0.25">
      <c r="A2" t="s">
        <v>4</v>
      </c>
      <c r="B2" s="1">
        <v>6741.5</v>
      </c>
      <c r="C2">
        <f>ABS(B3-B2)</f>
        <v>354.32999999999993</v>
      </c>
      <c r="D2" t="str">
        <f>VLOOKUP(B2,$L$16:$M$43,2,TRUE)</f>
        <v>A10</v>
      </c>
      <c r="E2" s="2"/>
      <c r="F2" t="s">
        <v>112</v>
      </c>
      <c r="J2" t="s">
        <v>63</v>
      </c>
      <c r="K2" s="1">
        <f>MAX(B2:B60)</f>
        <v>10311.18</v>
      </c>
    </row>
    <row r="3" spans="1:17" x14ac:dyDescent="0.25">
      <c r="A3" t="s">
        <v>5</v>
      </c>
      <c r="B3" s="1">
        <v>7095.83</v>
      </c>
      <c r="C3">
        <f t="shared" ref="C3:C61" si="0">ABS(B4-B3)</f>
        <v>91.430000000000291</v>
      </c>
      <c r="D3" t="str">
        <f t="shared" ref="D3:D61" si="1">VLOOKUP(B3,$L$16:$M$43,2,TRUE)</f>
        <v>A11</v>
      </c>
      <c r="E3" t="s">
        <v>112</v>
      </c>
      <c r="F3" t="s">
        <v>113</v>
      </c>
      <c r="G3">
        <f>VLOOKUP(E3,$O$16:$Q$42,3,)</f>
        <v>7065.18</v>
      </c>
      <c r="H3">
        <f>ABS((G3-B3)/B3)*100</f>
        <v>0.43194383179979839</v>
      </c>
      <c r="J3" t="s">
        <v>64</v>
      </c>
      <c r="K3" s="1">
        <f>MIN(B2:B60)</f>
        <v>4889.68</v>
      </c>
    </row>
    <row r="4" spans="1:17" x14ac:dyDescent="0.25">
      <c r="A4" t="s">
        <v>6</v>
      </c>
      <c r="B4" s="1">
        <v>7004.4</v>
      </c>
      <c r="C4">
        <f t="shared" si="0"/>
        <v>72.049999999999272</v>
      </c>
      <c r="D4" t="str">
        <f t="shared" si="1"/>
        <v>A11</v>
      </c>
      <c r="E4" t="s">
        <v>113</v>
      </c>
      <c r="F4" t="s">
        <v>113</v>
      </c>
      <c r="G4">
        <f t="shared" ref="G4:G62" si="2">VLOOKUP(E4,$O$16:$Q$42,3,)</f>
        <v>6745.3466666666673</v>
      </c>
      <c r="H4">
        <f>ABS((G4-B4)/B4)*100</f>
        <v>3.6984371728246876</v>
      </c>
      <c r="J4" t="s">
        <v>65</v>
      </c>
      <c r="K4">
        <f>1+3.3*(LOG(60))</f>
        <v>6.8678991262660238</v>
      </c>
      <c r="L4">
        <f>(K2-K3)/L5</f>
        <v>26.839108910891088</v>
      </c>
      <c r="M4">
        <f>(K2-K3)/M5</f>
        <v>26.317961165048544</v>
      </c>
    </row>
    <row r="5" spans="1:17" x14ac:dyDescent="0.25">
      <c r="A5" t="s">
        <v>7</v>
      </c>
      <c r="B5" s="1">
        <v>6932.35</v>
      </c>
      <c r="C5">
        <f t="shared" si="0"/>
        <v>180.5600000000004</v>
      </c>
      <c r="D5" t="str">
        <f t="shared" si="1"/>
        <v>A11</v>
      </c>
      <c r="E5" t="s">
        <v>113</v>
      </c>
      <c r="F5" t="s">
        <v>113</v>
      </c>
      <c r="G5">
        <f t="shared" si="2"/>
        <v>6745.3466666666673</v>
      </c>
      <c r="H5">
        <f t="shared" ref="H5:H61" si="3">ABS((G5-B5)/B5)*100</f>
        <v>2.6975460461940481</v>
      </c>
      <c r="J5" t="s">
        <v>66</v>
      </c>
      <c r="K5">
        <f>(K2-K3)/K4</f>
        <v>789.39715047148491</v>
      </c>
      <c r="L5">
        <v>202</v>
      </c>
      <c r="M5">
        <f>206</f>
        <v>206</v>
      </c>
    </row>
    <row r="6" spans="1:17" x14ac:dyDescent="0.25">
      <c r="A6" t="s">
        <v>8</v>
      </c>
      <c r="B6" s="1">
        <v>6751.79</v>
      </c>
      <c r="C6">
        <f t="shared" si="0"/>
        <v>85.3100000000004</v>
      </c>
      <c r="D6" t="str">
        <f t="shared" si="1"/>
        <v>A10</v>
      </c>
      <c r="E6" t="s">
        <v>113</v>
      </c>
      <c r="F6" t="s">
        <v>112</v>
      </c>
      <c r="G6">
        <f t="shared" si="2"/>
        <v>6745.3466666666673</v>
      </c>
      <c r="H6">
        <f t="shared" si="3"/>
        <v>9.5431483107926984E-2</v>
      </c>
    </row>
    <row r="7" spans="1:17" x14ac:dyDescent="0.25">
      <c r="A7" t="s">
        <v>9</v>
      </c>
      <c r="B7" s="1">
        <v>6837.1</v>
      </c>
      <c r="C7">
        <f t="shared" si="0"/>
        <v>159.58999999999924</v>
      </c>
      <c r="D7" t="str">
        <f t="shared" si="1"/>
        <v>A10</v>
      </c>
      <c r="E7" t="s">
        <v>112</v>
      </c>
      <c r="F7" t="s">
        <v>112</v>
      </c>
      <c r="G7">
        <f t="shared" si="2"/>
        <v>7065.18</v>
      </c>
      <c r="H7">
        <f t="shared" si="3"/>
        <v>3.3359172748679984</v>
      </c>
      <c r="L7" s="1">
        <f>K3</f>
        <v>4889.68</v>
      </c>
      <c r="M7" t="s">
        <v>74</v>
      </c>
      <c r="N7" t="s">
        <v>82</v>
      </c>
    </row>
    <row r="8" spans="1:17" x14ac:dyDescent="0.25">
      <c r="A8" t="s">
        <v>10</v>
      </c>
      <c r="B8" s="1">
        <v>6996.69</v>
      </c>
      <c r="C8">
        <f t="shared" si="0"/>
        <v>550.29999999999927</v>
      </c>
      <c r="D8" t="str">
        <f t="shared" si="1"/>
        <v>A11</v>
      </c>
      <c r="E8" t="s">
        <v>112</v>
      </c>
      <c r="F8" t="s">
        <v>113</v>
      </c>
      <c r="G8">
        <f t="shared" si="2"/>
        <v>7065.18</v>
      </c>
      <c r="H8">
        <f t="shared" si="3"/>
        <v>0.97889144724149124</v>
      </c>
      <c r="J8" t="s">
        <v>67</v>
      </c>
      <c r="K8" s="1">
        <f>K3</f>
        <v>4889.68</v>
      </c>
      <c r="L8" s="1">
        <f>K8+$K$5</f>
        <v>5679.0771504714849</v>
      </c>
      <c r="M8" t="s">
        <v>75</v>
      </c>
      <c r="N8" t="s">
        <v>74</v>
      </c>
      <c r="O8">
        <f>(K8+L8)/2</f>
        <v>5284.3785752357426</v>
      </c>
    </row>
    <row r="9" spans="1:17" x14ac:dyDescent="0.25">
      <c r="A9" t="s">
        <v>11</v>
      </c>
      <c r="B9" s="1">
        <v>6446.39</v>
      </c>
      <c r="C9">
        <f t="shared" si="0"/>
        <v>338.99000000000069</v>
      </c>
      <c r="D9" t="str">
        <f t="shared" si="1"/>
        <v>A8</v>
      </c>
      <c r="E9" t="s">
        <v>113</v>
      </c>
      <c r="F9" t="s">
        <v>110</v>
      </c>
      <c r="G9">
        <f t="shared" si="2"/>
        <v>6745.3466666666673</v>
      </c>
      <c r="H9">
        <f t="shared" si="3"/>
        <v>4.6375826883987301</v>
      </c>
      <c r="J9" t="s">
        <v>68</v>
      </c>
      <c r="K9" s="1">
        <f>L8</f>
        <v>5679.0771504714849</v>
      </c>
      <c r="L9" s="1">
        <f>K9+$K$5</f>
        <v>6468.4743009429694</v>
      </c>
      <c r="M9" t="s">
        <v>76</v>
      </c>
      <c r="N9" t="s">
        <v>75</v>
      </c>
      <c r="O9">
        <f t="shared" ref="O9:O14" si="4">(K9+L9)/2</f>
        <v>6073.7757257072271</v>
      </c>
    </row>
    <row r="10" spans="1:17" x14ac:dyDescent="0.25">
      <c r="A10" t="s">
        <v>12</v>
      </c>
      <c r="B10" s="1">
        <v>6107.4</v>
      </c>
      <c r="C10">
        <f t="shared" si="0"/>
        <v>150.42000000000007</v>
      </c>
      <c r="D10" t="str">
        <f t="shared" si="1"/>
        <v>A7</v>
      </c>
      <c r="E10" t="s">
        <v>110</v>
      </c>
      <c r="F10" t="s">
        <v>80</v>
      </c>
      <c r="G10">
        <f t="shared" si="2"/>
        <v>6358.18</v>
      </c>
      <c r="H10">
        <f t="shared" si="3"/>
        <v>4.1061662900743467</v>
      </c>
      <c r="J10" t="s">
        <v>69</v>
      </c>
      <c r="K10" s="1">
        <f t="shared" ref="K10:K14" si="5">L9</f>
        <v>6468.4743009429694</v>
      </c>
      <c r="L10" s="1">
        <f t="shared" ref="L10:L13" si="6">K10+$K$5</f>
        <v>7257.871451414454</v>
      </c>
      <c r="M10" t="s">
        <v>77</v>
      </c>
      <c r="N10" t="s">
        <v>76</v>
      </c>
      <c r="O10">
        <f t="shared" si="4"/>
        <v>6863.1728761787117</v>
      </c>
    </row>
    <row r="11" spans="1:17" x14ac:dyDescent="0.25">
      <c r="A11" t="s">
        <v>13</v>
      </c>
      <c r="B11" s="1">
        <v>5956.98</v>
      </c>
      <c r="C11">
        <f t="shared" si="0"/>
        <v>269.22000000000025</v>
      </c>
      <c r="D11" t="str">
        <f t="shared" si="1"/>
        <v>A6</v>
      </c>
      <c r="E11" t="s">
        <v>80</v>
      </c>
      <c r="F11" t="s">
        <v>79</v>
      </c>
      <c r="G11">
        <f t="shared" si="2"/>
        <v>6062.3942857142856</v>
      </c>
      <c r="H11">
        <f t="shared" si="3"/>
        <v>1.7695927418639321</v>
      </c>
      <c r="J11" t="s">
        <v>70</v>
      </c>
      <c r="K11" s="1">
        <f t="shared" si="5"/>
        <v>7257.871451414454</v>
      </c>
      <c r="L11" s="1">
        <f t="shared" si="6"/>
        <v>8047.2686018859386</v>
      </c>
      <c r="M11" t="s">
        <v>78</v>
      </c>
      <c r="N11" t="s">
        <v>77</v>
      </c>
      <c r="O11">
        <f t="shared" si="4"/>
        <v>7652.5700266501963</v>
      </c>
    </row>
    <row r="12" spans="1:17" x14ac:dyDescent="0.25">
      <c r="A12" t="s">
        <v>14</v>
      </c>
      <c r="B12" s="1">
        <v>6226.2</v>
      </c>
      <c r="C12">
        <f t="shared" si="0"/>
        <v>52.059999999999491</v>
      </c>
      <c r="D12" t="str">
        <f t="shared" si="1"/>
        <v>A7</v>
      </c>
      <c r="E12" t="s">
        <v>79</v>
      </c>
      <c r="F12" t="s">
        <v>80</v>
      </c>
      <c r="G12">
        <f t="shared" si="2"/>
        <v>6125.88</v>
      </c>
      <c r="H12">
        <f t="shared" si="3"/>
        <v>1.6112556615592128</v>
      </c>
      <c r="J12" t="s">
        <v>71</v>
      </c>
      <c r="K12" s="1">
        <f t="shared" si="5"/>
        <v>8047.2686018859386</v>
      </c>
      <c r="L12" s="1">
        <f t="shared" si="6"/>
        <v>8836.6657523574231</v>
      </c>
      <c r="M12" t="s">
        <v>79</v>
      </c>
      <c r="N12" t="s">
        <v>78</v>
      </c>
      <c r="O12">
        <f t="shared" si="4"/>
        <v>8441.9671771216817</v>
      </c>
    </row>
    <row r="13" spans="1:17" x14ac:dyDescent="0.25">
      <c r="A13" t="s">
        <v>15</v>
      </c>
      <c r="B13" s="1">
        <v>6174.14</v>
      </c>
      <c r="C13">
        <f t="shared" si="0"/>
        <v>6.6300000000001091</v>
      </c>
      <c r="D13" t="str">
        <f t="shared" si="1"/>
        <v>A7</v>
      </c>
      <c r="E13" t="s">
        <v>80</v>
      </c>
      <c r="F13" t="s">
        <v>80</v>
      </c>
      <c r="G13">
        <f t="shared" si="2"/>
        <v>6062.3942857142856</v>
      </c>
      <c r="H13">
        <f t="shared" si="3"/>
        <v>1.8098992618520913</v>
      </c>
      <c r="J13" t="s">
        <v>72</v>
      </c>
      <c r="K13" s="1">
        <f t="shared" si="5"/>
        <v>8836.6657523574231</v>
      </c>
      <c r="L13" s="1">
        <f t="shared" si="6"/>
        <v>9626.0629028289077</v>
      </c>
      <c r="M13" t="s">
        <v>80</v>
      </c>
      <c r="N13" t="s">
        <v>79</v>
      </c>
      <c r="O13">
        <f t="shared" si="4"/>
        <v>9231.3643275931645</v>
      </c>
    </row>
    <row r="14" spans="1:17" x14ac:dyDescent="0.25">
      <c r="A14" t="s">
        <v>16</v>
      </c>
      <c r="B14" s="1">
        <v>6180.77</v>
      </c>
      <c r="C14">
        <f t="shared" si="0"/>
        <v>254.53000000000065</v>
      </c>
      <c r="D14" t="str">
        <f t="shared" si="1"/>
        <v>A7</v>
      </c>
      <c r="E14" t="s">
        <v>80</v>
      </c>
      <c r="F14" t="s">
        <v>80</v>
      </c>
      <c r="G14">
        <f t="shared" si="2"/>
        <v>6062.3942857142856</v>
      </c>
      <c r="H14">
        <f t="shared" si="3"/>
        <v>1.9152260039722364</v>
      </c>
      <c r="J14" t="s">
        <v>73</v>
      </c>
      <c r="K14" s="1">
        <f t="shared" si="5"/>
        <v>9626.0629028289077</v>
      </c>
      <c r="L14" s="1">
        <f>K2</f>
        <v>10311.18</v>
      </c>
      <c r="N14" t="s">
        <v>80</v>
      </c>
      <c r="O14">
        <f t="shared" si="4"/>
        <v>9968.621451414454</v>
      </c>
    </row>
    <row r="15" spans="1:17" x14ac:dyDescent="0.25">
      <c r="A15" t="s">
        <v>17</v>
      </c>
      <c r="B15" s="1">
        <v>5926.24</v>
      </c>
      <c r="C15">
        <f t="shared" si="0"/>
        <v>167.35000000000036</v>
      </c>
      <c r="D15" t="str">
        <f t="shared" si="1"/>
        <v>A6</v>
      </c>
      <c r="E15" t="s">
        <v>80</v>
      </c>
      <c r="F15" t="s">
        <v>79</v>
      </c>
      <c r="G15">
        <f t="shared" si="2"/>
        <v>6062.3942857142856</v>
      </c>
      <c r="H15">
        <f t="shared" si="3"/>
        <v>2.2974818048929144</v>
      </c>
    </row>
    <row r="16" spans="1:17" x14ac:dyDescent="0.25">
      <c r="A16" t="s">
        <v>18</v>
      </c>
      <c r="B16" s="1">
        <v>6093.59</v>
      </c>
      <c r="C16">
        <f t="shared" si="0"/>
        <v>381.88999999999942</v>
      </c>
      <c r="D16" t="str">
        <f t="shared" si="1"/>
        <v>A6</v>
      </c>
      <c r="E16" t="s">
        <v>79</v>
      </c>
      <c r="F16" t="s">
        <v>79</v>
      </c>
      <c r="G16">
        <f t="shared" si="2"/>
        <v>6125.88</v>
      </c>
      <c r="H16">
        <f t="shared" si="3"/>
        <v>0.52990109278766639</v>
      </c>
      <c r="L16" s="1">
        <f>K3</f>
        <v>4889.68</v>
      </c>
      <c r="M16" t="s">
        <v>74</v>
      </c>
      <c r="N16">
        <f>(L17+L16)/2</f>
        <v>4992.68</v>
      </c>
      <c r="O16" t="s">
        <v>74</v>
      </c>
      <c r="P16" t="s">
        <v>75</v>
      </c>
      <c r="Q16">
        <f>N17</f>
        <v>5196.68</v>
      </c>
    </row>
    <row r="17" spans="1:18" x14ac:dyDescent="0.25">
      <c r="A17" t="s">
        <v>19</v>
      </c>
      <c r="B17" s="1">
        <v>6475.48</v>
      </c>
      <c r="C17">
        <f t="shared" si="0"/>
        <v>33.319999999999709</v>
      </c>
      <c r="D17" t="str">
        <f t="shared" si="1"/>
        <v>A8</v>
      </c>
      <c r="E17" t="s">
        <v>79</v>
      </c>
      <c r="F17" t="s">
        <v>110</v>
      </c>
      <c r="G17">
        <f t="shared" si="2"/>
        <v>6125.88</v>
      </c>
      <c r="H17">
        <f t="shared" si="3"/>
        <v>5.3988275772606737</v>
      </c>
      <c r="J17" t="s">
        <v>83</v>
      </c>
      <c r="K17" s="1">
        <f>K3</f>
        <v>4889.68</v>
      </c>
      <c r="L17" s="1">
        <f>K17+$M$5</f>
        <v>5095.68</v>
      </c>
      <c r="M17" t="s">
        <v>75</v>
      </c>
      <c r="N17">
        <f t="shared" ref="N17:N42" si="7">(L18+L17)/2</f>
        <v>5196.68</v>
      </c>
      <c r="O17" t="s">
        <v>75</v>
      </c>
      <c r="P17" t="s">
        <v>77</v>
      </c>
      <c r="Q17">
        <f>N19</f>
        <v>5600.68</v>
      </c>
    </row>
    <row r="18" spans="1:18" x14ac:dyDescent="0.25">
      <c r="A18" t="s">
        <v>20</v>
      </c>
      <c r="B18" s="1">
        <v>6442.16</v>
      </c>
      <c r="C18">
        <f t="shared" si="0"/>
        <v>223.48999999999978</v>
      </c>
      <c r="D18" t="str">
        <f t="shared" si="1"/>
        <v>A8</v>
      </c>
      <c r="E18" t="s">
        <v>110</v>
      </c>
      <c r="F18" t="s">
        <v>110</v>
      </c>
      <c r="G18">
        <f t="shared" si="2"/>
        <v>6358.18</v>
      </c>
      <c r="H18">
        <f t="shared" si="3"/>
        <v>1.3036000347709398</v>
      </c>
      <c r="J18" t="s">
        <v>84</v>
      </c>
      <c r="K18" s="1">
        <f>L17</f>
        <v>5095.68</v>
      </c>
      <c r="L18" s="1">
        <f>K18+$L$5</f>
        <v>5297.68</v>
      </c>
      <c r="M18" t="s">
        <v>76</v>
      </c>
      <c r="N18">
        <f t="shared" si="7"/>
        <v>5398.68</v>
      </c>
      <c r="O18" t="s">
        <v>76</v>
      </c>
      <c r="P18" t="s">
        <v>74</v>
      </c>
      <c r="Q18">
        <f>N16</f>
        <v>4992.68</v>
      </c>
    </row>
    <row r="19" spans="1:18" x14ac:dyDescent="0.25">
      <c r="A19" t="s">
        <v>21</v>
      </c>
      <c r="B19" s="1">
        <v>6218.67</v>
      </c>
      <c r="C19">
        <f t="shared" si="0"/>
        <v>366.67000000000007</v>
      </c>
      <c r="D19" t="str">
        <f t="shared" si="1"/>
        <v>A7</v>
      </c>
      <c r="E19" t="s">
        <v>110</v>
      </c>
      <c r="F19" t="s">
        <v>80</v>
      </c>
      <c r="G19">
        <f t="shared" si="2"/>
        <v>6358.18</v>
      </c>
      <c r="H19">
        <f t="shared" si="3"/>
        <v>2.2434057443151061</v>
      </c>
      <c r="J19" t="s">
        <v>85</v>
      </c>
      <c r="K19" s="1">
        <f t="shared" ref="K19:K43" si="8">L18</f>
        <v>5297.68</v>
      </c>
      <c r="L19" s="1">
        <f t="shared" ref="L19:L42" si="9">K19+$L$5</f>
        <v>5499.68</v>
      </c>
      <c r="M19" t="s">
        <v>77</v>
      </c>
      <c r="N19">
        <f t="shared" si="7"/>
        <v>5600.68</v>
      </c>
      <c r="O19" t="s">
        <v>77</v>
      </c>
      <c r="P19" t="s">
        <v>131</v>
      </c>
      <c r="Q19">
        <f>(N20+N22)/2</f>
        <v>6004.68</v>
      </c>
    </row>
    <row r="20" spans="1:18" x14ac:dyDescent="0.25">
      <c r="A20" t="s">
        <v>22</v>
      </c>
      <c r="B20" s="1">
        <v>5852</v>
      </c>
      <c r="C20">
        <f t="shared" si="0"/>
        <v>85.449999999999818</v>
      </c>
      <c r="D20" t="str">
        <f t="shared" si="1"/>
        <v>A5</v>
      </c>
      <c r="E20" t="s">
        <v>80</v>
      </c>
      <c r="F20" t="s">
        <v>78</v>
      </c>
      <c r="G20">
        <f t="shared" si="2"/>
        <v>6062.3942857142856</v>
      </c>
      <c r="H20">
        <f t="shared" si="3"/>
        <v>3.595254369690458</v>
      </c>
      <c r="J20" t="s">
        <v>86</v>
      </c>
      <c r="K20" s="1">
        <f t="shared" si="8"/>
        <v>5499.68</v>
      </c>
      <c r="L20" s="1">
        <f t="shared" si="9"/>
        <v>5701.68</v>
      </c>
      <c r="M20" t="s">
        <v>78</v>
      </c>
      <c r="N20">
        <f t="shared" si="7"/>
        <v>5802.68</v>
      </c>
      <c r="O20" t="s">
        <v>78</v>
      </c>
      <c r="P20" s="2" t="s">
        <v>132</v>
      </c>
      <c r="Q20">
        <f>(N18/5)+(N19/5)+(N20/5)+(2/5)*(N21)</f>
        <v>5762.2800000000007</v>
      </c>
      <c r="R20">
        <f>(N18+N19+N20+2*N21)/5</f>
        <v>5762.2800000000007</v>
      </c>
    </row>
    <row r="21" spans="1:18" x14ac:dyDescent="0.25">
      <c r="A21" t="s">
        <v>23</v>
      </c>
      <c r="B21" s="1">
        <v>5937.45</v>
      </c>
      <c r="C21">
        <f t="shared" si="0"/>
        <v>121.05000000000018</v>
      </c>
      <c r="D21" t="str">
        <f t="shared" si="1"/>
        <v>A6</v>
      </c>
      <c r="E21" t="s">
        <v>78</v>
      </c>
      <c r="F21" t="s">
        <v>79</v>
      </c>
      <c r="G21">
        <f t="shared" si="2"/>
        <v>5762.2800000000007</v>
      </c>
      <c r="H21">
        <f t="shared" si="3"/>
        <v>2.9502564232119712</v>
      </c>
      <c r="J21" t="s">
        <v>87</v>
      </c>
      <c r="K21" s="1">
        <f t="shared" si="8"/>
        <v>5701.68</v>
      </c>
      <c r="L21" s="1">
        <f t="shared" si="9"/>
        <v>5903.68</v>
      </c>
      <c r="M21" t="s">
        <v>79</v>
      </c>
      <c r="N21">
        <f t="shared" si="7"/>
        <v>6004.68</v>
      </c>
      <c r="O21" t="s">
        <v>79</v>
      </c>
      <c r="P21" s="2" t="s">
        <v>133</v>
      </c>
      <c r="Q21">
        <f>(N20+N21+2*N22+N23)/5</f>
        <v>6125.88</v>
      </c>
    </row>
    <row r="22" spans="1:18" x14ac:dyDescent="0.25">
      <c r="A22" t="s">
        <v>24</v>
      </c>
      <c r="B22" s="1">
        <v>5816.4</v>
      </c>
      <c r="C22">
        <f t="shared" si="0"/>
        <v>91.099999999999454</v>
      </c>
      <c r="D22" t="str">
        <f t="shared" si="1"/>
        <v>A5</v>
      </c>
      <c r="E22" t="s">
        <v>79</v>
      </c>
      <c r="F22" t="s">
        <v>78</v>
      </c>
      <c r="G22">
        <f t="shared" si="2"/>
        <v>6125.88</v>
      </c>
      <c r="H22">
        <f t="shared" si="3"/>
        <v>5.320817000206322</v>
      </c>
      <c r="J22" t="s">
        <v>88</v>
      </c>
      <c r="K22" s="1">
        <f t="shared" si="8"/>
        <v>5903.68</v>
      </c>
      <c r="L22" s="1">
        <f t="shared" si="9"/>
        <v>6105.68</v>
      </c>
      <c r="M22" t="s">
        <v>80</v>
      </c>
      <c r="N22">
        <f t="shared" si="7"/>
        <v>6206.68</v>
      </c>
      <c r="O22" t="s">
        <v>80</v>
      </c>
      <c r="P22" s="2" t="s">
        <v>134</v>
      </c>
      <c r="Q22">
        <f>(2*N20+2*N21+2*N22+N23)/7</f>
        <v>6062.3942857142856</v>
      </c>
    </row>
    <row r="23" spans="1:18" x14ac:dyDescent="0.25">
      <c r="A23" t="s">
        <v>25</v>
      </c>
      <c r="B23" s="1">
        <v>5725.3</v>
      </c>
      <c r="C23">
        <f t="shared" si="0"/>
        <v>28.25</v>
      </c>
      <c r="D23" t="str">
        <f t="shared" si="1"/>
        <v>A5</v>
      </c>
      <c r="E23" t="s">
        <v>78</v>
      </c>
      <c r="F23" t="s">
        <v>78</v>
      </c>
      <c r="G23">
        <f t="shared" si="2"/>
        <v>5762.2800000000007</v>
      </c>
      <c r="H23">
        <f t="shared" si="3"/>
        <v>0.64590501807766354</v>
      </c>
      <c r="J23" t="s">
        <v>89</v>
      </c>
      <c r="K23" s="1">
        <f t="shared" si="8"/>
        <v>6105.68</v>
      </c>
      <c r="L23" s="1">
        <f t="shared" si="9"/>
        <v>6307.68</v>
      </c>
      <c r="M23" t="s">
        <v>110</v>
      </c>
      <c r="N23">
        <f t="shared" si="7"/>
        <v>6408.68</v>
      </c>
      <c r="O23" t="s">
        <v>110</v>
      </c>
      <c r="P23" s="2" t="s">
        <v>135</v>
      </c>
      <c r="Q23">
        <f>(2*N22+N23+N24)/4</f>
        <v>6358.18</v>
      </c>
    </row>
    <row r="24" spans="1:18" x14ac:dyDescent="0.25">
      <c r="A24" t="s">
        <v>26</v>
      </c>
      <c r="B24" s="1">
        <v>5697.05</v>
      </c>
      <c r="C24">
        <f t="shared" si="0"/>
        <v>154.92999999999938</v>
      </c>
      <c r="D24" t="str">
        <f t="shared" si="1"/>
        <v>A4</v>
      </c>
      <c r="E24" t="s">
        <v>78</v>
      </c>
      <c r="F24" t="s">
        <v>77</v>
      </c>
      <c r="G24">
        <f t="shared" si="2"/>
        <v>5762.2800000000007</v>
      </c>
      <c r="H24">
        <f t="shared" si="3"/>
        <v>1.1449785415258857</v>
      </c>
      <c r="J24" t="s">
        <v>90</v>
      </c>
      <c r="K24" s="1">
        <f t="shared" si="8"/>
        <v>6307.68</v>
      </c>
      <c r="L24" s="1">
        <f t="shared" si="9"/>
        <v>6509.68</v>
      </c>
      <c r="M24" t="s">
        <v>111</v>
      </c>
      <c r="N24">
        <f t="shared" si="7"/>
        <v>6610.68</v>
      </c>
      <c r="O24" t="s">
        <v>111</v>
      </c>
      <c r="P24" t="s">
        <v>136</v>
      </c>
      <c r="Q24">
        <f>(N24+N25)/2</f>
        <v>6711.68</v>
      </c>
    </row>
    <row r="25" spans="1:18" x14ac:dyDescent="0.25">
      <c r="A25" t="s">
        <v>27</v>
      </c>
      <c r="B25" s="1">
        <v>5851.98</v>
      </c>
      <c r="C25">
        <f t="shared" si="0"/>
        <v>107.77000000000044</v>
      </c>
      <c r="D25" t="str">
        <f t="shared" si="1"/>
        <v>A5</v>
      </c>
      <c r="E25" t="s">
        <v>77</v>
      </c>
      <c r="F25" t="s">
        <v>78</v>
      </c>
      <c r="G25">
        <f t="shared" si="2"/>
        <v>6004.68</v>
      </c>
      <c r="H25">
        <f t="shared" si="3"/>
        <v>2.6093732377759449</v>
      </c>
      <c r="J25" t="s">
        <v>91</v>
      </c>
      <c r="K25" s="1">
        <f t="shared" si="8"/>
        <v>6509.68</v>
      </c>
      <c r="L25" s="1">
        <f t="shared" si="9"/>
        <v>6711.68</v>
      </c>
      <c r="M25" t="s">
        <v>112</v>
      </c>
      <c r="N25">
        <f t="shared" si="7"/>
        <v>6812.68</v>
      </c>
      <c r="O25" t="s">
        <v>112</v>
      </c>
      <c r="P25" s="2" t="s">
        <v>137</v>
      </c>
      <c r="Q25">
        <f>(2*N25+N26+N29)/4</f>
        <v>7065.18</v>
      </c>
    </row>
    <row r="26" spans="1:18" x14ac:dyDescent="0.25">
      <c r="A26" t="s">
        <v>28</v>
      </c>
      <c r="B26" s="1">
        <v>5959.75</v>
      </c>
      <c r="C26">
        <f t="shared" si="0"/>
        <v>219.02999999999975</v>
      </c>
      <c r="D26" t="str">
        <f t="shared" si="1"/>
        <v>A6</v>
      </c>
      <c r="E26" t="s">
        <v>78</v>
      </c>
      <c r="F26" t="s">
        <v>79</v>
      </c>
      <c r="G26">
        <f t="shared" si="2"/>
        <v>5762.2800000000007</v>
      </c>
      <c r="H26">
        <f t="shared" si="3"/>
        <v>3.3133940182054502</v>
      </c>
      <c r="J26" t="s">
        <v>92</v>
      </c>
      <c r="K26" s="1">
        <f t="shared" si="8"/>
        <v>6711.68</v>
      </c>
      <c r="L26" s="1">
        <f t="shared" si="9"/>
        <v>6913.68</v>
      </c>
      <c r="M26" t="s">
        <v>113</v>
      </c>
      <c r="N26">
        <f t="shared" si="7"/>
        <v>7014.68</v>
      </c>
      <c r="O26" t="s">
        <v>113</v>
      </c>
      <c r="P26" t="s">
        <v>138</v>
      </c>
      <c r="Q26">
        <f>(N23+N25+N26)/3</f>
        <v>6745.3466666666673</v>
      </c>
    </row>
    <row r="27" spans="1:18" x14ac:dyDescent="0.25">
      <c r="A27" t="s">
        <v>29</v>
      </c>
      <c r="B27" s="1">
        <v>6178.78</v>
      </c>
      <c r="C27">
        <f t="shared" si="0"/>
        <v>392.73999999999978</v>
      </c>
      <c r="D27" t="str">
        <f t="shared" si="1"/>
        <v>A7</v>
      </c>
      <c r="E27" t="s">
        <v>79</v>
      </c>
      <c r="F27" t="s">
        <v>80</v>
      </c>
      <c r="G27">
        <f t="shared" si="2"/>
        <v>6125.88</v>
      </c>
      <c r="H27">
        <f t="shared" si="3"/>
        <v>0.85615606964481072</v>
      </c>
      <c r="J27" t="s">
        <v>93</v>
      </c>
      <c r="K27" s="1">
        <f t="shared" si="8"/>
        <v>6913.68</v>
      </c>
      <c r="L27" s="1">
        <f t="shared" si="9"/>
        <v>7115.68</v>
      </c>
      <c r="M27" t="s">
        <v>114</v>
      </c>
      <c r="N27">
        <f t="shared" si="7"/>
        <v>7216.68</v>
      </c>
      <c r="O27" t="s">
        <v>114</v>
      </c>
    </row>
    <row r="28" spans="1:18" x14ac:dyDescent="0.25">
      <c r="A28" t="s">
        <v>30</v>
      </c>
      <c r="B28" s="1">
        <v>5786.04</v>
      </c>
      <c r="C28">
        <f t="shared" si="0"/>
        <v>292.53999999999996</v>
      </c>
      <c r="D28" t="str">
        <f t="shared" si="1"/>
        <v>A5</v>
      </c>
      <c r="E28" t="s">
        <v>80</v>
      </c>
      <c r="F28" t="s">
        <v>78</v>
      </c>
      <c r="G28">
        <f t="shared" si="2"/>
        <v>6062.3942857142856</v>
      </c>
      <c r="H28">
        <f t="shared" si="3"/>
        <v>4.7762249433859028</v>
      </c>
      <c r="J28" t="s">
        <v>94</v>
      </c>
      <c r="K28" s="1">
        <f t="shared" si="8"/>
        <v>7115.68</v>
      </c>
      <c r="L28" s="1">
        <f t="shared" si="9"/>
        <v>7317.68</v>
      </c>
      <c r="M28" t="s">
        <v>115</v>
      </c>
      <c r="N28">
        <f t="shared" si="7"/>
        <v>7418.68</v>
      </c>
      <c r="O28" t="s">
        <v>115</v>
      </c>
    </row>
    <row r="29" spans="1:18" x14ac:dyDescent="0.25">
      <c r="A29" t="s">
        <v>31</v>
      </c>
      <c r="B29" s="1">
        <v>5493.5</v>
      </c>
      <c r="C29">
        <f t="shared" si="0"/>
        <v>603.81999999999971</v>
      </c>
      <c r="D29" t="str">
        <f t="shared" si="1"/>
        <v>A3</v>
      </c>
      <c r="E29" t="s">
        <v>78</v>
      </c>
      <c r="F29" t="s">
        <v>76</v>
      </c>
      <c r="G29">
        <f t="shared" si="2"/>
        <v>5762.2800000000007</v>
      </c>
      <c r="H29">
        <f t="shared" si="3"/>
        <v>4.8926913625193533</v>
      </c>
      <c r="J29" t="s">
        <v>95</v>
      </c>
      <c r="K29" s="1">
        <f t="shared" si="8"/>
        <v>7317.68</v>
      </c>
      <c r="L29" s="1">
        <f t="shared" si="9"/>
        <v>7519.68</v>
      </c>
      <c r="M29" t="s">
        <v>116</v>
      </c>
      <c r="N29">
        <f t="shared" si="7"/>
        <v>7620.68</v>
      </c>
      <c r="O29" t="s">
        <v>116</v>
      </c>
      <c r="P29" t="s">
        <v>195</v>
      </c>
      <c r="Q29">
        <f>(N31+N30)/2</f>
        <v>7923.68</v>
      </c>
    </row>
    <row r="30" spans="1:18" x14ac:dyDescent="0.25">
      <c r="A30" t="s">
        <v>32</v>
      </c>
      <c r="B30" s="1">
        <v>4889.68</v>
      </c>
      <c r="C30">
        <f t="shared" si="0"/>
        <v>272.48999999999978</v>
      </c>
      <c r="D30" t="str">
        <f t="shared" si="1"/>
        <v>A1</v>
      </c>
      <c r="E30" t="s">
        <v>76</v>
      </c>
      <c r="F30" t="s">
        <v>74</v>
      </c>
      <c r="G30">
        <f t="shared" si="2"/>
        <v>4992.68</v>
      </c>
      <c r="H30">
        <f t="shared" si="3"/>
        <v>2.1064773154889482</v>
      </c>
      <c r="J30" t="s">
        <v>96</v>
      </c>
      <c r="K30" s="1">
        <f t="shared" si="8"/>
        <v>7519.68</v>
      </c>
      <c r="L30" s="1">
        <f t="shared" si="9"/>
        <v>7721.68</v>
      </c>
      <c r="M30" t="s">
        <v>117</v>
      </c>
      <c r="N30">
        <f t="shared" si="7"/>
        <v>7822.68</v>
      </c>
      <c r="O30" t="s">
        <v>117</v>
      </c>
      <c r="P30" t="s">
        <v>139</v>
      </c>
      <c r="Q30">
        <f>(N29+N30)/2</f>
        <v>7721.68</v>
      </c>
    </row>
    <row r="31" spans="1:18" x14ac:dyDescent="0.25">
      <c r="A31" t="s">
        <v>33</v>
      </c>
      <c r="B31" s="1">
        <v>5162.17</v>
      </c>
      <c r="C31">
        <f t="shared" si="0"/>
        <v>388.01000000000022</v>
      </c>
      <c r="D31" t="str">
        <f t="shared" si="1"/>
        <v>A2</v>
      </c>
      <c r="E31" t="s">
        <v>74</v>
      </c>
      <c r="F31" t="s">
        <v>75</v>
      </c>
      <c r="G31">
        <f t="shared" si="2"/>
        <v>5196.68</v>
      </c>
      <c r="H31">
        <f t="shared" si="3"/>
        <v>0.66851730958105249</v>
      </c>
      <c r="J31" t="s">
        <v>97</v>
      </c>
      <c r="K31" s="1">
        <f t="shared" si="8"/>
        <v>7721.68</v>
      </c>
      <c r="L31" s="1">
        <f t="shared" si="9"/>
        <v>7923.68</v>
      </c>
      <c r="M31" t="s">
        <v>118</v>
      </c>
      <c r="N31">
        <f t="shared" si="7"/>
        <v>8024.68</v>
      </c>
      <c r="O31" t="s">
        <v>118</v>
      </c>
      <c r="P31" t="s">
        <v>140</v>
      </c>
      <c r="Q31">
        <f>(N30+N31+N36)/4</f>
        <v>6220.51</v>
      </c>
    </row>
    <row r="32" spans="1:18" x14ac:dyDescent="0.25">
      <c r="A32" t="s">
        <v>34</v>
      </c>
      <c r="B32" s="1">
        <v>5550.18</v>
      </c>
      <c r="C32">
        <f t="shared" si="0"/>
        <v>600.11999999999989</v>
      </c>
      <c r="D32" t="str">
        <f t="shared" si="1"/>
        <v>A4</v>
      </c>
      <c r="E32" t="s">
        <v>75</v>
      </c>
      <c r="F32" t="s">
        <v>77</v>
      </c>
      <c r="G32">
        <f t="shared" si="2"/>
        <v>5600.68</v>
      </c>
      <c r="H32">
        <f t="shared" si="3"/>
        <v>0.90988040027530637</v>
      </c>
      <c r="J32" t="s">
        <v>98</v>
      </c>
      <c r="K32" s="1">
        <f t="shared" si="8"/>
        <v>7923.68</v>
      </c>
      <c r="L32" s="1">
        <f t="shared" si="9"/>
        <v>8125.68</v>
      </c>
      <c r="M32" t="s">
        <v>119</v>
      </c>
      <c r="N32">
        <f t="shared" si="7"/>
        <v>8226.68</v>
      </c>
      <c r="O32" t="s">
        <v>119</v>
      </c>
    </row>
    <row r="33" spans="1:17" x14ac:dyDescent="0.25">
      <c r="A33" t="s">
        <v>35</v>
      </c>
      <c r="B33" s="1">
        <v>6150.3</v>
      </c>
      <c r="C33">
        <f t="shared" si="0"/>
        <v>297.5</v>
      </c>
      <c r="D33" t="str">
        <f t="shared" si="1"/>
        <v>A7</v>
      </c>
      <c r="E33" t="s">
        <v>77</v>
      </c>
      <c r="F33" t="s">
        <v>80</v>
      </c>
      <c r="G33">
        <f t="shared" si="2"/>
        <v>6004.68</v>
      </c>
      <c r="H33">
        <f t="shared" si="3"/>
        <v>2.3676893810058028</v>
      </c>
      <c r="J33" t="s">
        <v>99</v>
      </c>
      <c r="K33" s="1">
        <f t="shared" si="8"/>
        <v>8125.68</v>
      </c>
      <c r="L33" s="1">
        <f t="shared" si="9"/>
        <v>8327.68</v>
      </c>
      <c r="M33" t="s">
        <v>120</v>
      </c>
      <c r="N33">
        <f t="shared" si="7"/>
        <v>8428.68</v>
      </c>
      <c r="O33" t="s">
        <v>120</v>
      </c>
    </row>
    <row r="34" spans="1:17" x14ac:dyDescent="0.25">
      <c r="A34" t="s">
        <v>36</v>
      </c>
      <c r="B34" s="1">
        <v>6447.8</v>
      </c>
      <c r="C34">
        <f t="shared" si="0"/>
        <v>253.26999999999953</v>
      </c>
      <c r="D34" t="str">
        <f t="shared" si="1"/>
        <v>A8</v>
      </c>
      <c r="E34" t="s">
        <v>80</v>
      </c>
      <c r="F34" t="s">
        <v>110</v>
      </c>
      <c r="G34">
        <f t="shared" si="2"/>
        <v>6062.3942857142856</v>
      </c>
      <c r="H34">
        <f t="shared" si="3"/>
        <v>5.9773211682390048</v>
      </c>
      <c r="J34" t="s">
        <v>100</v>
      </c>
      <c r="K34" s="1">
        <f t="shared" si="8"/>
        <v>8327.68</v>
      </c>
      <c r="L34" s="1">
        <f t="shared" si="9"/>
        <v>8529.68</v>
      </c>
      <c r="M34" t="s">
        <v>121</v>
      </c>
      <c r="N34">
        <f t="shared" si="7"/>
        <v>8630.68</v>
      </c>
      <c r="O34" t="s">
        <v>121</v>
      </c>
    </row>
    <row r="35" spans="1:17" x14ac:dyDescent="0.25">
      <c r="A35" t="s">
        <v>37</v>
      </c>
      <c r="B35" s="1">
        <v>6701.07</v>
      </c>
      <c r="C35">
        <f t="shared" si="0"/>
        <v>61.949999999999818</v>
      </c>
      <c r="D35" t="str">
        <f t="shared" si="1"/>
        <v>A9</v>
      </c>
      <c r="E35" t="s">
        <v>110</v>
      </c>
      <c r="F35" t="s">
        <v>111</v>
      </c>
      <c r="G35">
        <f t="shared" si="2"/>
        <v>6358.18</v>
      </c>
      <c r="H35">
        <f t="shared" si="3"/>
        <v>5.1169440104341462</v>
      </c>
      <c r="J35" t="s">
        <v>101</v>
      </c>
      <c r="K35" s="1">
        <f t="shared" si="8"/>
        <v>8529.68</v>
      </c>
      <c r="L35" s="1">
        <f t="shared" si="9"/>
        <v>8731.68</v>
      </c>
      <c r="M35" t="s">
        <v>122</v>
      </c>
      <c r="N35">
        <f t="shared" si="7"/>
        <v>8832.68</v>
      </c>
      <c r="O35" t="s">
        <v>122</v>
      </c>
    </row>
    <row r="36" spans="1:17" x14ac:dyDescent="0.25">
      <c r="A36" t="s">
        <v>38</v>
      </c>
      <c r="B36" s="1">
        <v>6639.12</v>
      </c>
      <c r="C36">
        <f t="shared" si="0"/>
        <v>235.28999999999996</v>
      </c>
      <c r="D36" t="str">
        <f t="shared" si="1"/>
        <v>A9</v>
      </c>
      <c r="E36" t="s">
        <v>111</v>
      </c>
      <c r="F36" t="s">
        <v>111</v>
      </c>
      <c r="G36">
        <f t="shared" si="2"/>
        <v>6711.68</v>
      </c>
      <c r="H36">
        <f t="shared" si="3"/>
        <v>1.0929159286170518</v>
      </c>
      <c r="J36" t="s">
        <v>102</v>
      </c>
      <c r="K36" s="1">
        <f t="shared" si="8"/>
        <v>8731.68</v>
      </c>
      <c r="L36" s="1">
        <f t="shared" si="9"/>
        <v>8933.68</v>
      </c>
      <c r="M36" t="s">
        <v>123</v>
      </c>
      <c r="N36">
        <f t="shared" si="7"/>
        <v>9034.68</v>
      </c>
      <c r="O36" t="s">
        <v>123</v>
      </c>
      <c r="P36" t="s">
        <v>141</v>
      </c>
      <c r="Q36">
        <f>(N36+N41)/2</f>
        <v>9539.68</v>
      </c>
    </row>
    <row r="37" spans="1:17" x14ac:dyDescent="0.25">
      <c r="A37" t="s">
        <v>39</v>
      </c>
      <c r="B37" s="1">
        <v>6874.41</v>
      </c>
      <c r="C37">
        <f t="shared" si="0"/>
        <v>732.90000000000055</v>
      </c>
      <c r="D37" t="str">
        <f t="shared" si="1"/>
        <v>A10</v>
      </c>
      <c r="E37" t="s">
        <v>111</v>
      </c>
      <c r="F37" t="s">
        <v>112</v>
      </c>
      <c r="G37">
        <f t="shared" si="2"/>
        <v>6711.68</v>
      </c>
      <c r="H37">
        <f t="shared" si="3"/>
        <v>2.3671849656915946</v>
      </c>
      <c r="J37" t="s">
        <v>103</v>
      </c>
      <c r="K37" s="1">
        <f t="shared" si="8"/>
        <v>8933.68</v>
      </c>
      <c r="L37" s="1">
        <f t="shared" si="9"/>
        <v>9135.68</v>
      </c>
      <c r="M37" t="s">
        <v>124</v>
      </c>
      <c r="N37">
        <f t="shared" si="7"/>
        <v>9236.68</v>
      </c>
      <c r="O37" t="s">
        <v>124</v>
      </c>
    </row>
    <row r="38" spans="1:17" x14ac:dyDescent="0.25">
      <c r="A38" t="s">
        <v>40</v>
      </c>
      <c r="B38" s="1">
        <v>7607.31</v>
      </c>
      <c r="C38">
        <f t="shared" si="0"/>
        <v>314.50999999999931</v>
      </c>
      <c r="D38" t="str">
        <f t="shared" si="1"/>
        <v>A14</v>
      </c>
      <c r="E38" t="s">
        <v>112</v>
      </c>
      <c r="F38" t="s">
        <v>116</v>
      </c>
      <c r="G38">
        <f t="shared" si="2"/>
        <v>7065.18</v>
      </c>
      <c r="H38">
        <f t="shared" si="3"/>
        <v>7.1264349684711163</v>
      </c>
      <c r="J38" t="s">
        <v>104</v>
      </c>
      <c r="K38" s="1">
        <f t="shared" si="8"/>
        <v>9135.68</v>
      </c>
      <c r="L38" s="1">
        <f t="shared" si="9"/>
        <v>9337.68</v>
      </c>
      <c r="M38" t="s">
        <v>125</v>
      </c>
      <c r="N38">
        <f t="shared" si="7"/>
        <v>9438.68</v>
      </c>
      <c r="O38" t="s">
        <v>125</v>
      </c>
      <c r="P38" s="2" t="s">
        <v>142</v>
      </c>
      <c r="Q38">
        <f>(N31+3*N38+N40)/5</f>
        <v>9236.68</v>
      </c>
    </row>
    <row r="39" spans="1:17" x14ac:dyDescent="0.25">
      <c r="A39" t="s">
        <v>41</v>
      </c>
      <c r="B39" s="1">
        <v>7921.82</v>
      </c>
      <c r="C39">
        <f t="shared" si="0"/>
        <v>179.75</v>
      </c>
      <c r="D39" t="str">
        <f t="shared" si="1"/>
        <v>A15</v>
      </c>
      <c r="E39" t="s">
        <v>116</v>
      </c>
      <c r="F39" t="s">
        <v>118</v>
      </c>
      <c r="G39">
        <f t="shared" si="2"/>
        <v>7923.68</v>
      </c>
      <c r="H39">
        <f t="shared" si="3"/>
        <v>2.3479452954000245E-2</v>
      </c>
      <c r="J39" t="s">
        <v>105</v>
      </c>
      <c r="K39" s="1">
        <f t="shared" si="8"/>
        <v>9337.68</v>
      </c>
      <c r="L39" s="1">
        <f t="shared" si="9"/>
        <v>9539.68</v>
      </c>
      <c r="M39" t="s">
        <v>126</v>
      </c>
      <c r="N39">
        <f t="shared" si="7"/>
        <v>9640.68</v>
      </c>
      <c r="O39" t="s">
        <v>126</v>
      </c>
      <c r="P39" t="s">
        <v>143</v>
      </c>
      <c r="Q39">
        <f>(N38+N39+N40)/3</f>
        <v>9640.68</v>
      </c>
    </row>
    <row r="40" spans="1:17" x14ac:dyDescent="0.25">
      <c r="A40" t="s">
        <v>42</v>
      </c>
      <c r="B40" s="1">
        <v>8101.57</v>
      </c>
      <c r="C40">
        <f t="shared" si="0"/>
        <v>998.01000000000022</v>
      </c>
      <c r="D40" t="str">
        <f t="shared" si="1"/>
        <v>A16</v>
      </c>
      <c r="E40" t="s">
        <v>118</v>
      </c>
      <c r="F40" t="s">
        <v>118</v>
      </c>
      <c r="G40">
        <f t="shared" si="2"/>
        <v>6220.51</v>
      </c>
      <c r="H40">
        <f t="shared" si="3"/>
        <v>23.218462594287274</v>
      </c>
      <c r="J40" t="s">
        <v>106</v>
      </c>
      <c r="K40" s="1">
        <f t="shared" si="8"/>
        <v>9539.68</v>
      </c>
      <c r="L40" s="1">
        <f t="shared" si="9"/>
        <v>9741.68</v>
      </c>
      <c r="M40" t="s">
        <v>127</v>
      </c>
      <c r="N40">
        <f t="shared" si="7"/>
        <v>9842.68</v>
      </c>
      <c r="O40" t="s">
        <v>127</v>
      </c>
      <c r="P40" t="s">
        <v>144</v>
      </c>
      <c r="Q40">
        <f>(N38+N39+N41)/3</f>
        <v>9708.0133333333342</v>
      </c>
    </row>
    <row r="41" spans="1:17" x14ac:dyDescent="0.25">
      <c r="A41" t="s">
        <v>43</v>
      </c>
      <c r="B41" s="1">
        <v>9099.58</v>
      </c>
      <c r="C41">
        <f t="shared" si="0"/>
        <v>104.61000000000058</v>
      </c>
      <c r="D41" t="str">
        <f t="shared" si="1"/>
        <v>A21</v>
      </c>
      <c r="E41" t="s">
        <v>118</v>
      </c>
      <c r="F41" t="s">
        <v>123</v>
      </c>
      <c r="G41">
        <f t="shared" si="2"/>
        <v>6220.51</v>
      </c>
      <c r="H41">
        <f t="shared" si="3"/>
        <v>31.639592157000649</v>
      </c>
      <c r="J41" t="s">
        <v>107</v>
      </c>
      <c r="K41" s="1">
        <f t="shared" si="8"/>
        <v>9741.68</v>
      </c>
      <c r="L41" s="1">
        <f t="shared" si="9"/>
        <v>9943.68</v>
      </c>
      <c r="M41" t="s">
        <v>128</v>
      </c>
      <c r="N41">
        <f t="shared" si="7"/>
        <v>10044.68</v>
      </c>
      <c r="O41" t="s">
        <v>128</v>
      </c>
      <c r="P41" t="s">
        <v>145</v>
      </c>
      <c r="Q41">
        <f>(N40+N42)/2</f>
        <v>10035.555</v>
      </c>
    </row>
    <row r="42" spans="1:17" x14ac:dyDescent="0.25">
      <c r="A42" t="s">
        <v>44</v>
      </c>
      <c r="B42" s="1">
        <v>8994.9699999999993</v>
      </c>
      <c r="C42">
        <f t="shared" si="0"/>
        <v>1036.3900000000012</v>
      </c>
      <c r="D42" t="str">
        <f t="shared" si="1"/>
        <v>A21</v>
      </c>
      <c r="E42" t="s">
        <v>123</v>
      </c>
      <c r="F42" t="s">
        <v>123</v>
      </c>
      <c r="G42">
        <f t="shared" si="2"/>
        <v>9539.68</v>
      </c>
      <c r="H42">
        <f t="shared" si="3"/>
        <v>6.0557178067297723</v>
      </c>
      <c r="J42" t="s">
        <v>108</v>
      </c>
      <c r="K42" s="1">
        <f t="shared" si="8"/>
        <v>9943.68</v>
      </c>
      <c r="L42" s="1">
        <f t="shared" si="9"/>
        <v>10145.68</v>
      </c>
      <c r="M42" t="s">
        <v>129</v>
      </c>
      <c r="N42">
        <f t="shared" si="7"/>
        <v>10228.43</v>
      </c>
      <c r="O42" t="s">
        <v>129</v>
      </c>
      <c r="P42" t="s">
        <v>126</v>
      </c>
      <c r="Q42">
        <f>N39</f>
        <v>9640.68</v>
      </c>
    </row>
    <row r="43" spans="1:17" x14ac:dyDescent="0.25">
      <c r="A43" t="s">
        <v>45</v>
      </c>
      <c r="B43" s="1">
        <v>10031.36</v>
      </c>
      <c r="C43">
        <f t="shared" si="0"/>
        <v>162.36000000000058</v>
      </c>
      <c r="D43" t="str">
        <f t="shared" si="1"/>
        <v>A26</v>
      </c>
      <c r="E43" t="s">
        <v>123</v>
      </c>
      <c r="F43" t="s">
        <v>128</v>
      </c>
      <c r="G43">
        <f t="shared" si="2"/>
        <v>9539.68</v>
      </c>
      <c r="H43">
        <f t="shared" si="3"/>
        <v>4.9014291182850602</v>
      </c>
      <c r="J43" t="s">
        <v>109</v>
      </c>
      <c r="K43" s="1">
        <f t="shared" si="8"/>
        <v>10145.68</v>
      </c>
      <c r="L43" s="1">
        <f>K2</f>
        <v>10311.18</v>
      </c>
    </row>
    <row r="44" spans="1:17" x14ac:dyDescent="0.25">
      <c r="A44" t="s">
        <v>46</v>
      </c>
      <c r="B44" s="1">
        <v>9869</v>
      </c>
      <c r="C44">
        <f t="shared" si="0"/>
        <v>534.93000000000029</v>
      </c>
      <c r="D44" t="str">
        <f t="shared" si="1"/>
        <v>A25</v>
      </c>
      <c r="E44" t="s">
        <v>128</v>
      </c>
      <c r="F44" t="s">
        <v>127</v>
      </c>
      <c r="G44">
        <f t="shared" si="2"/>
        <v>10035.555</v>
      </c>
      <c r="H44">
        <f t="shared" si="3"/>
        <v>1.6876583240449925</v>
      </c>
    </row>
    <row r="45" spans="1:17" x14ac:dyDescent="0.25">
      <c r="A45" t="s">
        <v>47</v>
      </c>
      <c r="B45" s="1">
        <v>9334.07</v>
      </c>
      <c r="C45">
        <f t="shared" si="0"/>
        <v>114.72999999999956</v>
      </c>
      <c r="D45" t="str">
        <f t="shared" si="1"/>
        <v>A22</v>
      </c>
      <c r="E45" t="s">
        <v>127</v>
      </c>
      <c r="F45" t="s">
        <v>125</v>
      </c>
      <c r="G45">
        <f t="shared" si="2"/>
        <v>9708.0133333333342</v>
      </c>
      <c r="H45">
        <f t="shared" si="3"/>
        <v>4.0062195091030439</v>
      </c>
      <c r="J45">
        <f>SUM(C2:C61)</f>
        <v>24758.999999999996</v>
      </c>
    </row>
    <row r="46" spans="1:17" x14ac:dyDescent="0.25">
      <c r="A46" t="s">
        <v>48</v>
      </c>
      <c r="B46" s="1">
        <v>9448.7999999999993</v>
      </c>
      <c r="C46">
        <f t="shared" si="0"/>
        <v>88.019999999998618</v>
      </c>
      <c r="D46" t="str">
        <f t="shared" si="1"/>
        <v>A23</v>
      </c>
      <c r="E46" t="s">
        <v>125</v>
      </c>
      <c r="G46">
        <f t="shared" si="2"/>
        <v>9236.68</v>
      </c>
      <c r="H46">
        <f t="shared" si="3"/>
        <v>2.2449411565489692</v>
      </c>
      <c r="J46">
        <f>J45/60</f>
        <v>412.64999999999992</v>
      </c>
    </row>
    <row r="47" spans="1:17" x14ac:dyDescent="0.25">
      <c r="A47" t="s">
        <v>49</v>
      </c>
      <c r="B47" s="1">
        <v>9360.7800000000007</v>
      </c>
      <c r="C47">
        <f t="shared" si="0"/>
        <v>109.55999999999949</v>
      </c>
      <c r="D47" t="str">
        <f t="shared" si="1"/>
        <v>A23</v>
      </c>
      <c r="E47" t="s">
        <v>125</v>
      </c>
      <c r="F47" t="s">
        <v>125</v>
      </c>
      <c r="G47">
        <f t="shared" si="2"/>
        <v>9236.68</v>
      </c>
      <c r="H47">
        <f t="shared" si="3"/>
        <v>1.3257442221695237</v>
      </c>
      <c r="J47">
        <f>J46/2</f>
        <v>206.32499999999996</v>
      </c>
    </row>
    <row r="48" spans="1:17" x14ac:dyDescent="0.25">
      <c r="A48" t="s">
        <v>50</v>
      </c>
      <c r="B48" s="1">
        <v>9470.34</v>
      </c>
      <c r="C48">
        <f t="shared" si="0"/>
        <v>374.06999999999971</v>
      </c>
      <c r="D48" t="str">
        <f t="shared" si="1"/>
        <v>A23</v>
      </c>
      <c r="E48" t="s">
        <v>125</v>
      </c>
      <c r="F48" t="s">
        <v>125</v>
      </c>
      <c r="G48">
        <f t="shared" si="2"/>
        <v>9236.68</v>
      </c>
      <c r="H48">
        <f t="shared" si="3"/>
        <v>2.4672820616788824</v>
      </c>
    </row>
    <row r="49" spans="1:8" x14ac:dyDescent="0.25">
      <c r="A49" t="s">
        <v>51</v>
      </c>
      <c r="B49" s="1">
        <v>9844.41</v>
      </c>
      <c r="C49">
        <f t="shared" si="0"/>
        <v>240.40999999999985</v>
      </c>
      <c r="D49" t="str">
        <f t="shared" si="1"/>
        <v>A25</v>
      </c>
      <c r="E49" t="s">
        <v>125</v>
      </c>
      <c r="F49" t="s">
        <v>127</v>
      </c>
      <c r="G49">
        <f t="shared" si="2"/>
        <v>9236.68</v>
      </c>
      <c r="H49">
        <f t="shared" si="3"/>
        <v>6.1733511708675231</v>
      </c>
    </row>
    <row r="50" spans="1:8" x14ac:dyDescent="0.25">
      <c r="A50" t="s">
        <v>52</v>
      </c>
      <c r="B50" s="1">
        <v>9604</v>
      </c>
      <c r="C50">
        <f t="shared" si="0"/>
        <v>83.329999999999927</v>
      </c>
      <c r="D50" t="str">
        <f t="shared" si="1"/>
        <v>A24</v>
      </c>
      <c r="E50" t="s">
        <v>127</v>
      </c>
      <c r="F50" t="s">
        <v>126</v>
      </c>
      <c r="G50">
        <f t="shared" si="2"/>
        <v>9708.0133333333342</v>
      </c>
      <c r="H50">
        <f t="shared" si="3"/>
        <v>1.0830209634874453</v>
      </c>
    </row>
    <row r="51" spans="1:8" x14ac:dyDescent="0.25">
      <c r="A51" t="s">
        <v>53</v>
      </c>
      <c r="B51" s="1">
        <v>9687.33</v>
      </c>
      <c r="C51">
        <f t="shared" si="0"/>
        <v>200.80999999999949</v>
      </c>
      <c r="D51" t="str">
        <f t="shared" si="1"/>
        <v>A24</v>
      </c>
      <c r="E51" t="s">
        <v>126</v>
      </c>
      <c r="F51" t="s">
        <v>126</v>
      </c>
      <c r="G51">
        <f t="shared" si="2"/>
        <v>9640.68</v>
      </c>
      <c r="H51">
        <f t="shared" si="3"/>
        <v>0.48155683764256652</v>
      </c>
    </row>
    <row r="52" spans="1:8" x14ac:dyDescent="0.25">
      <c r="A52" t="s">
        <v>54</v>
      </c>
      <c r="B52" s="1">
        <v>9888.14</v>
      </c>
      <c r="C52">
        <f t="shared" si="0"/>
        <v>236.61000000000058</v>
      </c>
      <c r="D52" t="str">
        <f t="shared" si="1"/>
        <v>A25</v>
      </c>
      <c r="E52" t="s">
        <v>126</v>
      </c>
      <c r="F52" t="s">
        <v>127</v>
      </c>
      <c r="G52">
        <f t="shared" si="2"/>
        <v>9640.68</v>
      </c>
      <c r="H52">
        <f t="shared" si="3"/>
        <v>2.502594016670467</v>
      </c>
    </row>
    <row r="53" spans="1:8" x14ac:dyDescent="0.25">
      <c r="A53" t="s">
        <v>55</v>
      </c>
      <c r="B53" s="1">
        <v>10124.75</v>
      </c>
      <c r="C53">
        <f t="shared" si="0"/>
        <v>186.43000000000029</v>
      </c>
      <c r="D53" t="str">
        <f t="shared" si="1"/>
        <v>A26</v>
      </c>
      <c r="E53" t="s">
        <v>127</v>
      </c>
      <c r="F53" t="s">
        <v>128</v>
      </c>
      <c r="G53">
        <f t="shared" si="2"/>
        <v>9708.0133333333342</v>
      </c>
      <c r="H53">
        <f t="shared" si="3"/>
        <v>4.116019325580047</v>
      </c>
    </row>
    <row r="54" spans="1:8" x14ac:dyDescent="0.25">
      <c r="A54" t="s">
        <v>56</v>
      </c>
      <c r="B54" s="1">
        <v>10311.18</v>
      </c>
      <c r="C54">
        <f t="shared" si="0"/>
        <v>729.35000000000036</v>
      </c>
      <c r="D54" t="s">
        <v>129</v>
      </c>
      <c r="E54" t="s">
        <v>128</v>
      </c>
      <c r="F54" t="s">
        <v>129</v>
      </c>
      <c r="G54">
        <f t="shared" si="2"/>
        <v>10035.555</v>
      </c>
      <c r="H54">
        <f t="shared" si="3"/>
        <v>2.6730694256137513</v>
      </c>
    </row>
    <row r="55" spans="1:8" x14ac:dyDescent="0.25">
      <c r="A55" t="s">
        <v>57</v>
      </c>
      <c r="B55" s="1">
        <v>9581.83</v>
      </c>
      <c r="C55">
        <f t="shared" si="0"/>
        <v>153.29999999999927</v>
      </c>
      <c r="D55" t="str">
        <f t="shared" si="1"/>
        <v>A24</v>
      </c>
      <c r="E55" t="s">
        <v>129</v>
      </c>
      <c r="F55" t="s">
        <v>126</v>
      </c>
      <c r="G55">
        <f t="shared" si="2"/>
        <v>9640.68</v>
      </c>
      <c r="H55">
        <f t="shared" si="3"/>
        <v>0.614183303189478</v>
      </c>
    </row>
    <row r="56" spans="1:8" x14ac:dyDescent="0.25">
      <c r="A56" t="s">
        <v>58</v>
      </c>
      <c r="B56" s="1">
        <v>9428.5300000000007</v>
      </c>
      <c r="C56">
        <f t="shared" si="0"/>
        <v>1471.4600000000009</v>
      </c>
      <c r="D56" t="str">
        <f t="shared" si="1"/>
        <v>A23</v>
      </c>
      <c r="E56" t="s">
        <v>126</v>
      </c>
      <c r="F56" t="s">
        <v>125</v>
      </c>
      <c r="G56">
        <f t="shared" si="2"/>
        <v>9640.68</v>
      </c>
      <c r="H56">
        <f t="shared" si="3"/>
        <v>2.250085644315706</v>
      </c>
    </row>
    <row r="57" spans="1:8" x14ac:dyDescent="0.25">
      <c r="A57" t="s">
        <v>59</v>
      </c>
      <c r="B57" s="1">
        <v>7957.07</v>
      </c>
      <c r="C57">
        <f t="shared" si="0"/>
        <v>176.82999999999993</v>
      </c>
      <c r="D57" t="str">
        <f t="shared" si="1"/>
        <v>A16</v>
      </c>
      <c r="E57" t="s">
        <v>125</v>
      </c>
      <c r="F57" t="s">
        <v>118</v>
      </c>
      <c r="G57">
        <f t="shared" si="2"/>
        <v>9236.68</v>
      </c>
      <c r="H57">
        <f t="shared" si="3"/>
        <v>16.0814219304342</v>
      </c>
    </row>
    <row r="58" spans="1:8" x14ac:dyDescent="0.25">
      <c r="A58" t="s">
        <v>60</v>
      </c>
      <c r="B58" s="1">
        <v>7780.24</v>
      </c>
      <c r="C58">
        <f t="shared" si="0"/>
        <v>121.51000000000022</v>
      </c>
      <c r="D58" t="str">
        <f t="shared" si="1"/>
        <v>A15</v>
      </c>
      <c r="E58" t="s">
        <v>118</v>
      </c>
      <c r="F58" t="s">
        <v>117</v>
      </c>
      <c r="G58">
        <f t="shared" si="2"/>
        <v>6220.51</v>
      </c>
      <c r="H58">
        <f t="shared" si="3"/>
        <v>20.04732501825136</v>
      </c>
    </row>
    <row r="59" spans="1:8" x14ac:dyDescent="0.25">
      <c r="A59" t="s">
        <v>61</v>
      </c>
      <c r="B59" s="1">
        <v>7901.75</v>
      </c>
      <c r="C59">
        <f t="shared" si="0"/>
        <v>292.97999999999956</v>
      </c>
      <c r="D59" t="str">
        <f t="shared" si="1"/>
        <v>A15</v>
      </c>
      <c r="E59" t="s">
        <v>117</v>
      </c>
      <c r="F59" t="s">
        <v>117</v>
      </c>
      <c r="G59">
        <f t="shared" si="2"/>
        <v>7721.68</v>
      </c>
      <c r="H59">
        <f t="shared" si="3"/>
        <v>2.2788622773436225</v>
      </c>
    </row>
    <row r="60" spans="1:8" x14ac:dyDescent="0.25">
      <c r="A60" t="s">
        <v>62</v>
      </c>
      <c r="B60" s="1">
        <v>7608.77</v>
      </c>
      <c r="C60">
        <f t="shared" si="0"/>
        <v>281.95999999999913</v>
      </c>
      <c r="D60" t="str">
        <f t="shared" si="1"/>
        <v>A14</v>
      </c>
      <c r="E60" t="s">
        <v>117</v>
      </c>
      <c r="F60" t="s">
        <v>116</v>
      </c>
      <c r="G60">
        <f t="shared" si="2"/>
        <v>7721.68</v>
      </c>
      <c r="H60">
        <f t="shared" si="3"/>
        <v>1.4839454997325434</v>
      </c>
    </row>
    <row r="61" spans="1:8" x14ac:dyDescent="0.25">
      <c r="A61" s="3">
        <v>44917</v>
      </c>
      <c r="B61" s="1">
        <v>7890.73</v>
      </c>
      <c r="C61">
        <f t="shared" si="0"/>
        <v>7890.73</v>
      </c>
      <c r="D61" t="str">
        <f t="shared" si="1"/>
        <v>A15</v>
      </c>
      <c r="E61" t="s">
        <v>116</v>
      </c>
      <c r="F61" t="s">
        <v>117</v>
      </c>
      <c r="G61">
        <f t="shared" si="2"/>
        <v>7923.68</v>
      </c>
      <c r="H61">
        <f t="shared" si="3"/>
        <v>0.41757860172633876</v>
      </c>
    </row>
    <row r="62" spans="1:8" x14ac:dyDescent="0.25">
      <c r="E62" t="s">
        <v>117</v>
      </c>
      <c r="G62">
        <f t="shared" si="2"/>
        <v>7721.68</v>
      </c>
      <c r="H62">
        <f>AVERAGE(H3:H61)</f>
        <v>3.9741197119913365</v>
      </c>
    </row>
    <row r="65" spans="2:3" x14ac:dyDescent="0.25">
      <c r="B65" t="s">
        <v>2</v>
      </c>
      <c r="C65" t="s">
        <v>3</v>
      </c>
    </row>
    <row r="66" spans="2:3" x14ac:dyDescent="0.25">
      <c r="B66" s="1">
        <v>1269.54</v>
      </c>
      <c r="C66" s="1">
        <v>16.420000000000002</v>
      </c>
    </row>
    <row r="67" spans="2:3" x14ac:dyDescent="0.25">
      <c r="B67" s="1">
        <v>1309.96</v>
      </c>
      <c r="C67" s="1">
        <v>16.920000000000002</v>
      </c>
    </row>
    <row r="68" spans="2:3" x14ac:dyDescent="0.25">
      <c r="B68" s="1">
        <v>1337.54</v>
      </c>
      <c r="C68" s="1">
        <v>16.920000000000002</v>
      </c>
    </row>
    <row r="69" spans="2:3" x14ac:dyDescent="0.25">
      <c r="B69" s="1">
        <v>1323.17</v>
      </c>
      <c r="C69" s="1">
        <v>16.510000000000002</v>
      </c>
    </row>
    <row r="70" spans="2:3" x14ac:dyDescent="0.25">
      <c r="B70" s="1">
        <v>1337.43</v>
      </c>
      <c r="C70" s="1">
        <v>16.52</v>
      </c>
    </row>
    <row r="71" spans="2:3" x14ac:dyDescent="0.25">
      <c r="B71" s="1">
        <v>1312.51</v>
      </c>
      <c r="C71" s="1">
        <v>16.53</v>
      </c>
    </row>
    <row r="72" spans="2:3" x14ac:dyDescent="0.25">
      <c r="B72" s="1">
        <v>1295.1500000000001</v>
      </c>
      <c r="C72" s="1">
        <v>16.62</v>
      </c>
    </row>
    <row r="73" spans="2:3" x14ac:dyDescent="0.25">
      <c r="B73" s="1">
        <v>1251.46</v>
      </c>
      <c r="C73" s="1">
        <v>15.99</v>
      </c>
    </row>
    <row r="74" spans="2:3" x14ac:dyDescent="0.25">
      <c r="B74" s="1">
        <v>1212.3699999999999</v>
      </c>
      <c r="C74" s="1">
        <v>15.3</v>
      </c>
    </row>
    <row r="75" spans="2:3" x14ac:dyDescent="0.25">
      <c r="B75" s="1">
        <v>1198.5899999999999</v>
      </c>
      <c r="C75" s="1">
        <v>14.43</v>
      </c>
    </row>
    <row r="76" spans="2:3" x14ac:dyDescent="0.25">
      <c r="B76" s="1">
        <v>1204.9100000000001</v>
      </c>
      <c r="C76" s="1">
        <v>14.49</v>
      </c>
    </row>
    <row r="77" spans="2:3" x14ac:dyDescent="0.25">
      <c r="B77" s="1">
        <v>1223.05</v>
      </c>
      <c r="C77" s="1">
        <v>14.48</v>
      </c>
    </row>
    <row r="78" spans="2:3" x14ac:dyDescent="0.25">
      <c r="B78" s="1">
        <v>1234.1500000000001</v>
      </c>
      <c r="C78" s="1">
        <v>14.46</v>
      </c>
    </row>
    <row r="79" spans="2:3" x14ac:dyDescent="0.25">
      <c r="B79" s="1">
        <v>1282.29</v>
      </c>
      <c r="C79" s="1">
        <v>15.41</v>
      </c>
    </row>
    <row r="80" spans="2:3" x14ac:dyDescent="0.25">
      <c r="B80" s="1">
        <v>1307.3599999999999</v>
      </c>
      <c r="C80" s="1">
        <v>15.68</v>
      </c>
    </row>
    <row r="81" spans="2:3" x14ac:dyDescent="0.25">
      <c r="B81" s="1">
        <v>1308.02</v>
      </c>
      <c r="C81" s="1">
        <v>15.5</v>
      </c>
    </row>
    <row r="82" spans="2:3" x14ac:dyDescent="0.25">
      <c r="B82" s="1">
        <v>1296.44</v>
      </c>
      <c r="C82" s="1">
        <v>15.19</v>
      </c>
    </row>
    <row r="83" spans="2:3" x14ac:dyDescent="0.25">
      <c r="B83" s="1">
        <v>1283.69</v>
      </c>
      <c r="C83" s="1">
        <v>14.82</v>
      </c>
    </row>
    <row r="84" spans="2:3" x14ac:dyDescent="0.25">
      <c r="B84" s="1">
        <v>1312.55</v>
      </c>
      <c r="C84" s="1">
        <v>14.67</v>
      </c>
    </row>
    <row r="85" spans="2:3" x14ac:dyDescent="0.25">
      <c r="B85" s="1">
        <v>1406.29</v>
      </c>
      <c r="C85" s="1">
        <v>15.35</v>
      </c>
    </row>
    <row r="86" spans="2:3" x14ac:dyDescent="0.25">
      <c r="B86" s="1">
        <v>1462.46</v>
      </c>
      <c r="C86" s="1">
        <v>16.690000000000001</v>
      </c>
    </row>
    <row r="87" spans="2:3" x14ac:dyDescent="0.25">
      <c r="B87" s="1">
        <v>1515.23</v>
      </c>
      <c r="C87" s="1">
        <v>18.02</v>
      </c>
    </row>
    <row r="88" spans="2:3" x14ac:dyDescent="0.25">
      <c r="B88" s="1">
        <v>1498.65</v>
      </c>
      <c r="C88" s="1">
        <v>17.68</v>
      </c>
    </row>
    <row r="89" spans="2:3" x14ac:dyDescent="0.25">
      <c r="B89" s="1">
        <v>1484.03</v>
      </c>
      <c r="C89" s="1">
        <v>17.489999999999998</v>
      </c>
    </row>
    <row r="90" spans="2:3" x14ac:dyDescent="0.25">
      <c r="B90" s="1">
        <v>1466.68</v>
      </c>
      <c r="C90" s="1">
        <v>16.940000000000001</v>
      </c>
    </row>
    <row r="91" spans="2:3" x14ac:dyDescent="0.25">
      <c r="B91" s="1">
        <v>1536.14</v>
      </c>
      <c r="C91" s="1">
        <v>17.91</v>
      </c>
    </row>
    <row r="92" spans="2:3" x14ac:dyDescent="0.25">
      <c r="B92" s="1">
        <v>1571.59</v>
      </c>
      <c r="C92" s="1">
        <v>17.809999999999999</v>
      </c>
    </row>
    <row r="93" spans="2:3" x14ac:dyDescent="0.25">
      <c r="B93" s="1">
        <v>1609.19</v>
      </c>
      <c r="C93" s="1">
        <v>16.48</v>
      </c>
    </row>
    <row r="94" spans="2:3" x14ac:dyDescent="0.25">
      <c r="B94" s="1">
        <v>1632.92</v>
      </c>
      <c r="C94" s="1">
        <v>14.4</v>
      </c>
    </row>
    <row r="95" spans="2:3" x14ac:dyDescent="0.25">
      <c r="B95" s="1">
        <v>1708.91</v>
      </c>
      <c r="C95" s="1">
        <v>15.42</v>
      </c>
    </row>
    <row r="96" spans="2:3" x14ac:dyDescent="0.25">
      <c r="B96" s="1">
        <v>1719.81</v>
      </c>
      <c r="C96" s="1">
        <v>17.559999999999999</v>
      </c>
    </row>
    <row r="97" spans="2:3" x14ac:dyDescent="0.25">
      <c r="B97" s="1">
        <v>1784.74</v>
      </c>
      <c r="C97" s="1">
        <v>18.34</v>
      </c>
    </row>
    <row r="98" spans="2:3" x14ac:dyDescent="0.25">
      <c r="B98" s="1">
        <v>1951.85</v>
      </c>
      <c r="C98" s="1">
        <v>25.08</v>
      </c>
    </row>
    <row r="99" spans="2:3" x14ac:dyDescent="0.25">
      <c r="B99" s="1">
        <v>1941.15</v>
      </c>
      <c r="C99" s="1">
        <v>27.05</v>
      </c>
    </row>
    <row r="100" spans="2:3" x14ac:dyDescent="0.25">
      <c r="B100" s="1">
        <v>1895.14</v>
      </c>
      <c r="C100" s="1">
        <v>24.02</v>
      </c>
    </row>
    <row r="101" spans="2:3" x14ac:dyDescent="0.25">
      <c r="B101" s="1">
        <v>1891.82</v>
      </c>
      <c r="C101" s="1">
        <v>24.36</v>
      </c>
    </row>
    <row r="102" spans="2:3" x14ac:dyDescent="0.25">
      <c r="B102" s="1">
        <v>1835.43</v>
      </c>
      <c r="C102" s="1">
        <v>24</v>
      </c>
    </row>
    <row r="103" spans="2:3" x14ac:dyDescent="0.25">
      <c r="B103" s="1">
        <v>1876.42</v>
      </c>
      <c r="C103" s="1">
        <v>26.03</v>
      </c>
    </row>
    <row r="104" spans="2:3" x14ac:dyDescent="0.25">
      <c r="B104" s="1">
        <v>1830.05</v>
      </c>
      <c r="C104" s="1">
        <v>26.72</v>
      </c>
    </row>
    <row r="105" spans="2:3" x14ac:dyDescent="0.25">
      <c r="B105" s="1">
        <v>1734.7</v>
      </c>
      <c r="C105" s="1">
        <v>26.37</v>
      </c>
    </row>
    <row r="106" spans="2:3" x14ac:dyDescent="0.25">
      <c r="B106" s="1">
        <v>1735.31</v>
      </c>
      <c r="C106" s="1">
        <v>25.14</v>
      </c>
    </row>
    <row r="107" spans="2:3" x14ac:dyDescent="0.25">
      <c r="B107" s="1">
        <v>1809.73</v>
      </c>
      <c r="C107" s="1">
        <v>26.78</v>
      </c>
    </row>
    <row r="108" spans="2:3" x14ac:dyDescent="0.25">
      <c r="B108" s="1">
        <v>1874.33</v>
      </c>
      <c r="C108" s="1">
        <v>27.62</v>
      </c>
    </row>
    <row r="109" spans="2:3" x14ac:dyDescent="0.25">
      <c r="B109" s="1">
        <v>1794.84</v>
      </c>
      <c r="C109" s="1">
        <v>26.08</v>
      </c>
    </row>
    <row r="110" spans="2:3" x14ac:dyDescent="0.25">
      <c r="B110" s="1">
        <v>1789.64</v>
      </c>
      <c r="C110" s="1">
        <v>24.59</v>
      </c>
    </row>
    <row r="111" spans="2:3" x14ac:dyDescent="0.25">
      <c r="B111" s="1">
        <v>1795.32</v>
      </c>
      <c r="C111" s="1">
        <v>23.83</v>
      </c>
    </row>
    <row r="112" spans="2:3" x14ac:dyDescent="0.25">
      <c r="B112" s="1">
        <v>1762.57</v>
      </c>
      <c r="C112" s="1">
        <v>22.68</v>
      </c>
    </row>
    <row r="113" spans="2:3" x14ac:dyDescent="0.25">
      <c r="B113" s="1">
        <v>1817.52</v>
      </c>
      <c r="C113" s="1">
        <v>24.35</v>
      </c>
    </row>
    <row r="114" spans="2:3" x14ac:dyDescent="0.25">
      <c r="B114" s="1">
        <v>1786.24</v>
      </c>
      <c r="C114" s="1">
        <v>22.77</v>
      </c>
    </row>
    <row r="115" spans="2:3" x14ac:dyDescent="0.25">
      <c r="B115" s="1">
        <v>1807.53</v>
      </c>
      <c r="C115" s="1">
        <v>22.81</v>
      </c>
    </row>
    <row r="116" spans="2:3" x14ac:dyDescent="0.25">
      <c r="B116" s="1">
        <v>1831.08</v>
      </c>
      <c r="C116" s="1">
        <v>23.27</v>
      </c>
    </row>
    <row r="117" spans="2:3" x14ac:dyDescent="0.25">
      <c r="B117" s="1">
        <v>1940.31</v>
      </c>
      <c r="C117" s="1">
        <v>25.05</v>
      </c>
    </row>
    <row r="118" spans="2:3" x14ac:dyDescent="0.25">
      <c r="B118" s="1">
        <v>1942.41</v>
      </c>
      <c r="C118" s="1">
        <v>24.99</v>
      </c>
    </row>
    <row r="119" spans="2:3" x14ac:dyDescent="0.25">
      <c r="B119" s="1">
        <v>1873.14</v>
      </c>
      <c r="C119" s="1">
        <v>22.66</v>
      </c>
    </row>
    <row r="120" spans="2:3" x14ac:dyDescent="0.25">
      <c r="B120" s="1">
        <v>1842.57</v>
      </c>
      <c r="C120" s="1">
        <v>21.83</v>
      </c>
    </row>
    <row r="121" spans="2:3" x14ac:dyDescent="0.25">
      <c r="B121" s="1">
        <v>1778.12</v>
      </c>
      <c r="C121" s="1">
        <v>20.010000000000002</v>
      </c>
    </row>
    <row r="122" spans="2:3" x14ac:dyDescent="0.25">
      <c r="B122" s="1">
        <v>1759.97</v>
      </c>
      <c r="C122" s="1">
        <v>19.73</v>
      </c>
    </row>
    <row r="123" spans="2:3" x14ac:dyDescent="0.25">
      <c r="B123" s="1">
        <v>1716.37</v>
      </c>
      <c r="C123" s="1">
        <v>18.79</v>
      </c>
    </row>
    <row r="124" spans="2:3" x14ac:dyDescent="0.25">
      <c r="B124" s="1">
        <v>1666.39</v>
      </c>
      <c r="C124" s="1">
        <v>19.3</v>
      </c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C94B0-7CBE-4F48-B709-3CAA72CB8F9B}">
  <dimension ref="A1:P62"/>
  <sheetViews>
    <sheetView workbookViewId="0">
      <selection activeCell="C62" sqref="C62"/>
    </sheetView>
  </sheetViews>
  <sheetFormatPr defaultRowHeight="15" x14ac:dyDescent="0.25"/>
  <cols>
    <col min="2" max="2" width="37.42578125" customWidth="1"/>
    <col min="10" max="11" width="15.5703125" customWidth="1"/>
    <col min="15" max="15" width="25.140625" customWidth="1"/>
  </cols>
  <sheetData>
    <row r="1" spans="1:16" x14ac:dyDescent="0.25">
      <c r="A1" t="s">
        <v>0</v>
      </c>
      <c r="B1" t="s">
        <v>148</v>
      </c>
      <c r="D1" t="s">
        <v>180</v>
      </c>
      <c r="G1" t="s">
        <v>146</v>
      </c>
    </row>
    <row r="2" spans="1:16" x14ac:dyDescent="0.25">
      <c r="A2" t="s">
        <v>4</v>
      </c>
      <c r="B2" s="1">
        <v>1269.54</v>
      </c>
      <c r="C2">
        <f>ABS(B3-B2)</f>
        <v>40.420000000000073</v>
      </c>
      <c r="D2" t="str">
        <f>VLOOKUP(B2,$K$8:$L$31,2,TRUE)</f>
        <v>A3</v>
      </c>
      <c r="F2" t="s">
        <v>76</v>
      </c>
      <c r="H2" t="s">
        <v>147</v>
      </c>
      <c r="J2" t="s">
        <v>63</v>
      </c>
      <c r="K2" s="1">
        <f>MAX(B2:B60)</f>
        <v>1951.85</v>
      </c>
    </row>
    <row r="3" spans="1:16" x14ac:dyDescent="0.25">
      <c r="A3" t="s">
        <v>5</v>
      </c>
      <c r="B3" s="1">
        <v>1309.96</v>
      </c>
      <c r="C3">
        <f t="shared" ref="C3:C61" si="0">ABS(B4-B3)</f>
        <v>27.579999999999927</v>
      </c>
      <c r="D3" t="str">
        <f t="shared" ref="D3:D61" si="1">VLOOKUP(B3,$K$8:$L$31,2,TRUE)</f>
        <v>A4</v>
      </c>
      <c r="E3" t="s">
        <v>76</v>
      </c>
      <c r="F3" t="s">
        <v>77</v>
      </c>
      <c r="G3">
        <f>VLOOKUP(E3,$N$8:$P$30,3,FALSE)</f>
        <v>1294.0409999999999</v>
      </c>
      <c r="H3">
        <f>ABS((G3-B3)/B3)*100</f>
        <v>1.215227945891485</v>
      </c>
      <c r="J3" t="s">
        <v>64</v>
      </c>
      <c r="K3" s="1">
        <f>MIN(B2:B60)</f>
        <v>1198.5899999999999</v>
      </c>
    </row>
    <row r="4" spans="1:16" x14ac:dyDescent="0.25">
      <c r="A4" t="s">
        <v>6</v>
      </c>
      <c r="B4" s="1">
        <v>1337.54</v>
      </c>
      <c r="C4">
        <f t="shared" si="0"/>
        <v>14.369999999999891</v>
      </c>
      <c r="D4" t="str">
        <f t="shared" si="1"/>
        <v>A5</v>
      </c>
      <c r="E4" t="s">
        <v>77</v>
      </c>
      <c r="F4" t="s">
        <v>78</v>
      </c>
      <c r="G4">
        <f t="shared" ref="G4:G62" si="2">VLOOKUP(E4,$N$8:$P$30,3,FALSE)</f>
        <v>1330.3410000000001</v>
      </c>
      <c r="H4">
        <f t="shared" ref="H4:H61" si="3">ABS((G4-B4)/B4)*100</f>
        <v>0.5382268941489482</v>
      </c>
      <c r="J4" t="s">
        <v>65</v>
      </c>
      <c r="K4">
        <f>(K2-K3)/K5</f>
        <v>22.999603065555256</v>
      </c>
      <c r="L4">
        <v>23</v>
      </c>
    </row>
    <row r="5" spans="1:16" x14ac:dyDescent="0.25">
      <c r="A5" t="s">
        <v>7</v>
      </c>
      <c r="B5" s="1">
        <v>1323.17</v>
      </c>
      <c r="C5">
        <f t="shared" si="0"/>
        <v>14.259999999999991</v>
      </c>
      <c r="D5" t="str">
        <f t="shared" si="1"/>
        <v>A4</v>
      </c>
      <c r="E5" t="s">
        <v>78</v>
      </c>
      <c r="F5" t="s">
        <v>77</v>
      </c>
      <c r="G5">
        <f t="shared" si="2"/>
        <v>1313.8409999999999</v>
      </c>
      <c r="H5">
        <f t="shared" si="3"/>
        <v>0.70504923781526019</v>
      </c>
      <c r="J5" t="s">
        <v>66</v>
      </c>
      <c r="K5">
        <f>(AVERAGE(C2:C61))/2</f>
        <v>32.750999999999991</v>
      </c>
      <c r="L5">
        <v>33</v>
      </c>
    </row>
    <row r="6" spans="1:16" x14ac:dyDescent="0.25">
      <c r="A6" t="s">
        <v>8</v>
      </c>
      <c r="B6" s="1">
        <v>1337.43</v>
      </c>
      <c r="C6">
        <f t="shared" si="0"/>
        <v>24.920000000000073</v>
      </c>
      <c r="D6" t="str">
        <f t="shared" si="1"/>
        <v>A5</v>
      </c>
      <c r="E6" t="s">
        <v>77</v>
      </c>
      <c r="F6" t="s">
        <v>78</v>
      </c>
      <c r="G6">
        <f t="shared" si="2"/>
        <v>1330.3410000000001</v>
      </c>
      <c r="H6">
        <f t="shared" si="3"/>
        <v>0.53004643233664128</v>
      </c>
    </row>
    <row r="7" spans="1:16" x14ac:dyDescent="0.25">
      <c r="A7" t="s">
        <v>9</v>
      </c>
      <c r="B7" s="1">
        <v>1312.51</v>
      </c>
      <c r="C7">
        <f t="shared" si="0"/>
        <v>17.3599999999999</v>
      </c>
      <c r="D7" t="str">
        <f t="shared" si="1"/>
        <v>A4</v>
      </c>
      <c r="E7" t="s">
        <v>78</v>
      </c>
      <c r="F7" t="s">
        <v>77</v>
      </c>
      <c r="G7">
        <f t="shared" si="2"/>
        <v>1313.8409999999999</v>
      </c>
      <c r="H7">
        <f t="shared" si="3"/>
        <v>0.10140875117141231</v>
      </c>
    </row>
    <row r="8" spans="1:16" x14ac:dyDescent="0.25">
      <c r="A8" t="s">
        <v>10</v>
      </c>
      <c r="B8" s="1">
        <v>1295.1500000000001</v>
      </c>
      <c r="C8">
        <f t="shared" si="0"/>
        <v>43.690000000000055</v>
      </c>
      <c r="D8" t="str">
        <f t="shared" si="1"/>
        <v>A3</v>
      </c>
      <c r="E8" t="s">
        <v>77</v>
      </c>
      <c r="F8" t="s">
        <v>76</v>
      </c>
      <c r="G8">
        <f t="shared" si="2"/>
        <v>1330.3410000000001</v>
      </c>
      <c r="H8">
        <f t="shared" si="3"/>
        <v>2.717137011157011</v>
      </c>
      <c r="K8" s="1">
        <f>K3</f>
        <v>1198.5899999999999</v>
      </c>
      <c r="L8" t="s">
        <v>74</v>
      </c>
      <c r="M8">
        <f>(J9+K9)/2</f>
        <v>1214.9654999999998</v>
      </c>
      <c r="N8" t="s">
        <v>74</v>
      </c>
      <c r="O8" t="s">
        <v>165</v>
      </c>
      <c r="P8">
        <f>(3*M8+M9)/4</f>
        <v>1223.1843749999998</v>
      </c>
    </row>
    <row r="9" spans="1:16" x14ac:dyDescent="0.25">
      <c r="A9" t="s">
        <v>11</v>
      </c>
      <c r="B9" s="1">
        <v>1251.46</v>
      </c>
      <c r="C9">
        <f t="shared" si="0"/>
        <v>39.090000000000146</v>
      </c>
      <c r="D9" t="str">
        <f t="shared" si="1"/>
        <v>A2</v>
      </c>
      <c r="E9" t="s">
        <v>76</v>
      </c>
      <c r="F9" t="s">
        <v>75</v>
      </c>
      <c r="G9">
        <f t="shared" si="2"/>
        <v>1294.0409999999999</v>
      </c>
      <c r="H9">
        <f t="shared" si="3"/>
        <v>3.4025058731401643</v>
      </c>
      <c r="I9" t="s">
        <v>67</v>
      </c>
      <c r="J9" s="1">
        <f>K3</f>
        <v>1198.5899999999999</v>
      </c>
      <c r="K9" s="1">
        <f>J9+$K$5</f>
        <v>1231.3409999999999</v>
      </c>
      <c r="L9" t="s">
        <v>75</v>
      </c>
      <c r="M9">
        <f t="shared" ref="M9:M29" si="4">(J10+K10)/2</f>
        <v>1247.8409999999999</v>
      </c>
      <c r="N9" t="s">
        <v>75</v>
      </c>
      <c r="O9" t="s">
        <v>166</v>
      </c>
      <c r="P9">
        <f>(M9+M10)/2</f>
        <v>1264.3409999999999</v>
      </c>
    </row>
    <row r="10" spans="1:16" x14ac:dyDescent="0.25">
      <c r="A10" t="s">
        <v>12</v>
      </c>
      <c r="B10" s="1">
        <v>1212.3699999999999</v>
      </c>
      <c r="C10">
        <f t="shared" si="0"/>
        <v>13.779999999999973</v>
      </c>
      <c r="D10" t="str">
        <f t="shared" si="1"/>
        <v>A1</v>
      </c>
      <c r="E10" t="s">
        <v>75</v>
      </c>
      <c r="F10" t="s">
        <v>74</v>
      </c>
      <c r="G10">
        <f t="shared" si="2"/>
        <v>1264.3409999999999</v>
      </c>
      <c r="H10">
        <f t="shared" si="3"/>
        <v>4.2867276491500128</v>
      </c>
      <c r="I10" t="s">
        <v>68</v>
      </c>
      <c r="J10" s="1">
        <f>K9</f>
        <v>1231.3409999999999</v>
      </c>
      <c r="K10" s="1">
        <f>J10+$L$5</f>
        <v>1264.3409999999999</v>
      </c>
      <c r="L10" t="s">
        <v>76</v>
      </c>
      <c r="M10">
        <f>(J11+K11)/2</f>
        <v>1280.8409999999999</v>
      </c>
      <c r="N10" t="s">
        <v>76</v>
      </c>
      <c r="O10" t="s">
        <v>167</v>
      </c>
      <c r="P10">
        <f>(M9+M10+3*M11)/5</f>
        <v>1294.0409999999999</v>
      </c>
    </row>
    <row r="11" spans="1:16" x14ac:dyDescent="0.25">
      <c r="A11" t="s">
        <v>13</v>
      </c>
      <c r="B11" s="1">
        <v>1198.5899999999999</v>
      </c>
      <c r="C11">
        <f t="shared" si="0"/>
        <v>6.3200000000001637</v>
      </c>
      <c r="D11" t="str">
        <f t="shared" si="1"/>
        <v>A1</v>
      </c>
      <c r="E11" t="s">
        <v>74</v>
      </c>
      <c r="F11" t="s">
        <v>74</v>
      </c>
      <c r="G11">
        <f t="shared" si="2"/>
        <v>1223.1843749999998</v>
      </c>
      <c r="H11">
        <f t="shared" si="3"/>
        <v>2.0519422821815554</v>
      </c>
      <c r="I11" t="s">
        <v>69</v>
      </c>
      <c r="J11" s="1">
        <f t="shared" ref="J11:J31" si="5">K10</f>
        <v>1264.3409999999999</v>
      </c>
      <c r="K11" s="1">
        <f t="shared" ref="K11:K30" si="6">J11+$L$5</f>
        <v>1297.3409999999999</v>
      </c>
      <c r="L11" t="s">
        <v>77</v>
      </c>
      <c r="M11">
        <f t="shared" si="4"/>
        <v>1313.8409999999999</v>
      </c>
      <c r="N11" t="s">
        <v>77</v>
      </c>
      <c r="O11" t="s">
        <v>168</v>
      </c>
      <c r="P11">
        <f>(2*M10+M11+2*M12+M14)/6</f>
        <v>1330.3410000000001</v>
      </c>
    </row>
    <row r="12" spans="1:16" x14ac:dyDescent="0.25">
      <c r="A12" t="s">
        <v>14</v>
      </c>
      <c r="B12" s="1">
        <v>1204.9100000000001</v>
      </c>
      <c r="C12">
        <f t="shared" si="0"/>
        <v>18.139999999999873</v>
      </c>
      <c r="D12" t="str">
        <f t="shared" si="1"/>
        <v>A1</v>
      </c>
      <c r="E12" t="s">
        <v>74</v>
      </c>
      <c r="F12" t="s">
        <v>74</v>
      </c>
      <c r="G12">
        <f t="shared" si="2"/>
        <v>1223.1843749999998</v>
      </c>
      <c r="H12">
        <f t="shared" si="3"/>
        <v>1.5166589205832581</v>
      </c>
      <c r="I12" t="s">
        <v>70</v>
      </c>
      <c r="J12" s="1">
        <f t="shared" si="5"/>
        <v>1297.3409999999999</v>
      </c>
      <c r="K12" s="1">
        <f t="shared" si="6"/>
        <v>1330.3409999999999</v>
      </c>
      <c r="L12" t="s">
        <v>78</v>
      </c>
      <c r="M12">
        <f t="shared" si="4"/>
        <v>1346.8409999999999</v>
      </c>
      <c r="N12" t="s">
        <v>78</v>
      </c>
      <c r="O12" t="s">
        <v>169</v>
      </c>
      <c r="P12">
        <f>(2*M11)/2</f>
        <v>1313.8409999999999</v>
      </c>
    </row>
    <row r="13" spans="1:16" x14ac:dyDescent="0.25">
      <c r="A13" t="s">
        <v>15</v>
      </c>
      <c r="B13" s="1">
        <v>1223.05</v>
      </c>
      <c r="C13">
        <f t="shared" si="0"/>
        <v>11.100000000000136</v>
      </c>
      <c r="D13" t="str">
        <f t="shared" si="1"/>
        <v>A1</v>
      </c>
      <c r="E13" t="s">
        <v>74</v>
      </c>
      <c r="F13" t="s">
        <v>74</v>
      </c>
      <c r="G13">
        <f t="shared" si="2"/>
        <v>1223.1843749999998</v>
      </c>
      <c r="H13">
        <f t="shared" si="3"/>
        <v>1.0986877069609874E-2</v>
      </c>
      <c r="I13" t="s">
        <v>71</v>
      </c>
      <c r="J13" s="1">
        <f t="shared" si="5"/>
        <v>1330.3409999999999</v>
      </c>
      <c r="K13" s="1">
        <f t="shared" si="6"/>
        <v>1363.3409999999999</v>
      </c>
      <c r="L13" t="s">
        <v>79</v>
      </c>
      <c r="M13">
        <f t="shared" si="4"/>
        <v>1379.8409999999999</v>
      </c>
      <c r="N13" t="s">
        <v>79</v>
      </c>
    </row>
    <row r="14" spans="1:16" x14ac:dyDescent="0.25">
      <c r="A14" t="s">
        <v>16</v>
      </c>
      <c r="B14" s="1">
        <v>1234.1500000000001</v>
      </c>
      <c r="C14">
        <f t="shared" si="0"/>
        <v>48.139999999999873</v>
      </c>
      <c r="D14" t="str">
        <f t="shared" si="1"/>
        <v>A2</v>
      </c>
      <c r="E14" t="s">
        <v>74</v>
      </c>
      <c r="F14" t="s">
        <v>75</v>
      </c>
      <c r="G14">
        <f t="shared" si="2"/>
        <v>1223.1843749999998</v>
      </c>
      <c r="H14">
        <f t="shared" si="3"/>
        <v>0.88851638779729147</v>
      </c>
      <c r="I14" t="s">
        <v>72</v>
      </c>
      <c r="J14" s="1">
        <f t="shared" si="5"/>
        <v>1363.3409999999999</v>
      </c>
      <c r="K14" s="1">
        <f t="shared" si="6"/>
        <v>1396.3409999999999</v>
      </c>
      <c r="L14" t="s">
        <v>80</v>
      </c>
      <c r="M14">
        <f t="shared" si="4"/>
        <v>1412.8409999999999</v>
      </c>
      <c r="N14" t="s">
        <v>80</v>
      </c>
      <c r="O14" t="s">
        <v>110</v>
      </c>
      <c r="P14">
        <f>M15</f>
        <v>1445.8409999999999</v>
      </c>
    </row>
    <row r="15" spans="1:16" x14ac:dyDescent="0.25">
      <c r="A15" t="s">
        <v>17</v>
      </c>
      <c r="B15" s="1">
        <v>1282.29</v>
      </c>
      <c r="C15">
        <f t="shared" si="0"/>
        <v>25.069999999999936</v>
      </c>
      <c r="D15" t="str">
        <f t="shared" si="1"/>
        <v>A3</v>
      </c>
      <c r="E15" t="s">
        <v>75</v>
      </c>
      <c r="F15" t="s">
        <v>76</v>
      </c>
      <c r="G15">
        <f t="shared" si="2"/>
        <v>1264.3409999999999</v>
      </c>
      <c r="H15">
        <f t="shared" si="3"/>
        <v>1.3997613644339479</v>
      </c>
      <c r="I15" t="s">
        <v>73</v>
      </c>
      <c r="J15" s="1">
        <f t="shared" si="5"/>
        <v>1396.3409999999999</v>
      </c>
      <c r="K15" s="1">
        <f t="shared" si="6"/>
        <v>1429.3409999999999</v>
      </c>
      <c r="L15" t="s">
        <v>110</v>
      </c>
      <c r="M15">
        <f t="shared" si="4"/>
        <v>1445.8409999999999</v>
      </c>
      <c r="N15" t="s">
        <v>110</v>
      </c>
      <c r="O15" t="s">
        <v>112</v>
      </c>
      <c r="P15">
        <f>M17</f>
        <v>1511.8409999999999</v>
      </c>
    </row>
    <row r="16" spans="1:16" x14ac:dyDescent="0.25">
      <c r="A16" t="s">
        <v>18</v>
      </c>
      <c r="B16" s="1">
        <v>1307.3599999999999</v>
      </c>
      <c r="C16">
        <f t="shared" si="0"/>
        <v>0.66000000000008185</v>
      </c>
      <c r="D16" t="str">
        <f t="shared" si="1"/>
        <v>A4</v>
      </c>
      <c r="E16" t="s">
        <v>76</v>
      </c>
      <c r="F16" t="s">
        <v>77</v>
      </c>
      <c r="G16">
        <f t="shared" si="2"/>
        <v>1294.0409999999999</v>
      </c>
      <c r="H16">
        <f t="shared" si="3"/>
        <v>1.0187706523069362</v>
      </c>
      <c r="I16" t="s">
        <v>149</v>
      </c>
      <c r="J16" s="1">
        <f t="shared" si="5"/>
        <v>1429.3409999999999</v>
      </c>
      <c r="K16" s="1">
        <f t="shared" si="6"/>
        <v>1462.3409999999999</v>
      </c>
      <c r="L16" t="s">
        <v>111</v>
      </c>
      <c r="M16">
        <f t="shared" si="4"/>
        <v>1478.8409999999999</v>
      </c>
      <c r="N16" t="s">
        <v>111</v>
      </c>
      <c r="O16" t="s">
        <v>170</v>
      </c>
      <c r="P16">
        <f>(M16+M18)/2</f>
        <v>1511.8409999999999</v>
      </c>
    </row>
    <row r="17" spans="1:16" x14ac:dyDescent="0.25">
      <c r="A17" t="s">
        <v>19</v>
      </c>
      <c r="B17" s="1">
        <v>1308.02</v>
      </c>
      <c r="C17">
        <f t="shared" si="0"/>
        <v>11.579999999999927</v>
      </c>
      <c r="D17" t="str">
        <f t="shared" si="1"/>
        <v>A4</v>
      </c>
      <c r="E17" t="s">
        <v>77</v>
      </c>
      <c r="F17" t="s">
        <v>77</v>
      </c>
      <c r="G17">
        <f t="shared" si="2"/>
        <v>1330.3410000000001</v>
      </c>
      <c r="H17">
        <f t="shared" si="3"/>
        <v>1.706472378098205</v>
      </c>
      <c r="I17" t="s">
        <v>150</v>
      </c>
      <c r="J17" s="1">
        <f t="shared" si="5"/>
        <v>1462.3409999999999</v>
      </c>
      <c r="K17" s="1">
        <f t="shared" si="6"/>
        <v>1495.3409999999999</v>
      </c>
      <c r="L17" t="s">
        <v>112</v>
      </c>
      <c r="M17">
        <f t="shared" si="4"/>
        <v>1511.8409999999999</v>
      </c>
      <c r="N17" t="s">
        <v>112</v>
      </c>
      <c r="O17" t="s">
        <v>136</v>
      </c>
      <c r="P17">
        <f>(M16+M17)/2</f>
        <v>1495.3409999999999</v>
      </c>
    </row>
    <row r="18" spans="1:16" x14ac:dyDescent="0.25">
      <c r="A18" t="s">
        <v>20</v>
      </c>
      <c r="B18" s="1">
        <v>1296.44</v>
      </c>
      <c r="C18">
        <f t="shared" si="0"/>
        <v>12.75</v>
      </c>
      <c r="D18" t="str">
        <f t="shared" si="1"/>
        <v>A3</v>
      </c>
      <c r="E18" t="s">
        <v>77</v>
      </c>
      <c r="F18" t="s">
        <v>76</v>
      </c>
      <c r="G18">
        <f t="shared" si="2"/>
        <v>1330.3410000000001</v>
      </c>
      <c r="H18">
        <f t="shared" si="3"/>
        <v>2.614930116318539</v>
      </c>
      <c r="I18" t="s">
        <v>151</v>
      </c>
      <c r="J18" s="1">
        <f t="shared" si="5"/>
        <v>1495.3409999999999</v>
      </c>
      <c r="K18" s="1">
        <f t="shared" si="6"/>
        <v>1528.3409999999999</v>
      </c>
      <c r="L18" t="s">
        <v>113</v>
      </c>
      <c r="M18">
        <f t="shared" si="4"/>
        <v>1544.8409999999999</v>
      </c>
      <c r="N18" t="s">
        <v>113</v>
      </c>
      <c r="O18" t="s">
        <v>114</v>
      </c>
      <c r="P18">
        <f>M19</f>
        <v>1577.8409999999999</v>
      </c>
    </row>
    <row r="19" spans="1:16" x14ac:dyDescent="0.25">
      <c r="A19" t="s">
        <v>21</v>
      </c>
      <c r="B19" s="1">
        <v>1283.69</v>
      </c>
      <c r="C19">
        <f t="shared" si="0"/>
        <v>28.8599999999999</v>
      </c>
      <c r="D19" t="str">
        <f t="shared" si="1"/>
        <v>A3</v>
      </c>
      <c r="E19" t="s">
        <v>76</v>
      </c>
      <c r="F19" t="s">
        <v>76</v>
      </c>
      <c r="G19">
        <f t="shared" si="2"/>
        <v>1294.0409999999999</v>
      </c>
      <c r="H19">
        <f t="shared" si="3"/>
        <v>0.80634732684681543</v>
      </c>
      <c r="I19" t="s">
        <v>152</v>
      </c>
      <c r="J19" s="1">
        <f t="shared" si="5"/>
        <v>1528.3409999999999</v>
      </c>
      <c r="K19" s="1">
        <f t="shared" si="6"/>
        <v>1561.3409999999999</v>
      </c>
      <c r="L19" t="s">
        <v>114</v>
      </c>
      <c r="M19">
        <f t="shared" si="4"/>
        <v>1577.8409999999999</v>
      </c>
      <c r="N19" t="s">
        <v>114</v>
      </c>
      <c r="O19" t="s">
        <v>115</v>
      </c>
      <c r="P19">
        <f>M20</f>
        <v>1610.8409999999999</v>
      </c>
    </row>
    <row r="20" spans="1:16" x14ac:dyDescent="0.25">
      <c r="A20" t="s">
        <v>22</v>
      </c>
      <c r="B20" s="1">
        <v>1312.55</v>
      </c>
      <c r="C20">
        <f t="shared" si="0"/>
        <v>93.740000000000009</v>
      </c>
      <c r="D20" t="str">
        <f t="shared" si="1"/>
        <v>A4</v>
      </c>
      <c r="E20" t="s">
        <v>76</v>
      </c>
      <c r="F20" t="s">
        <v>77</v>
      </c>
      <c r="G20">
        <f t="shared" si="2"/>
        <v>1294.0409999999999</v>
      </c>
      <c r="H20">
        <f t="shared" si="3"/>
        <v>1.4101558035884358</v>
      </c>
      <c r="I20" t="s">
        <v>153</v>
      </c>
      <c r="J20" s="1">
        <f t="shared" si="5"/>
        <v>1561.3409999999999</v>
      </c>
      <c r="K20" s="1">
        <f t="shared" si="6"/>
        <v>1594.3409999999999</v>
      </c>
      <c r="L20" t="s">
        <v>115</v>
      </c>
      <c r="M20">
        <f t="shared" si="4"/>
        <v>1610.8409999999999</v>
      </c>
      <c r="N20" t="s">
        <v>115</v>
      </c>
      <c r="O20" t="s">
        <v>116</v>
      </c>
      <c r="P20">
        <f>M21</f>
        <v>1643.8409999999999</v>
      </c>
    </row>
    <row r="21" spans="1:16" x14ac:dyDescent="0.25">
      <c r="A21" t="s">
        <v>23</v>
      </c>
      <c r="B21" s="1">
        <v>1406.29</v>
      </c>
      <c r="C21">
        <f t="shared" si="0"/>
        <v>56.170000000000073</v>
      </c>
      <c r="D21" t="str">
        <f t="shared" si="1"/>
        <v>A7</v>
      </c>
      <c r="E21" t="s">
        <v>77</v>
      </c>
      <c r="F21" t="s">
        <v>80</v>
      </c>
      <c r="G21">
        <f t="shared" si="2"/>
        <v>1330.3410000000001</v>
      </c>
      <c r="H21">
        <f t="shared" si="3"/>
        <v>5.4006641588861362</v>
      </c>
      <c r="I21" t="s">
        <v>154</v>
      </c>
      <c r="J21" s="1">
        <f t="shared" si="5"/>
        <v>1594.3409999999999</v>
      </c>
      <c r="K21" s="1">
        <f t="shared" si="6"/>
        <v>1627.3409999999999</v>
      </c>
      <c r="L21" t="s">
        <v>116</v>
      </c>
      <c r="M21">
        <f t="shared" si="4"/>
        <v>1643.8409999999999</v>
      </c>
      <c r="N21" t="s">
        <v>116</v>
      </c>
      <c r="O21" t="s">
        <v>118</v>
      </c>
      <c r="P21">
        <f>M23</f>
        <v>1709.8409999999999</v>
      </c>
    </row>
    <row r="22" spans="1:16" x14ac:dyDescent="0.25">
      <c r="A22" t="s">
        <v>24</v>
      </c>
      <c r="B22" s="1">
        <v>1462.46</v>
      </c>
      <c r="C22">
        <f t="shared" si="0"/>
        <v>52.769999999999982</v>
      </c>
      <c r="D22" t="str">
        <f t="shared" si="1"/>
        <v>A9</v>
      </c>
      <c r="E22" t="s">
        <v>80</v>
      </c>
      <c r="F22" t="s">
        <v>110</v>
      </c>
      <c r="G22">
        <f t="shared" si="2"/>
        <v>1445.8409999999999</v>
      </c>
      <c r="H22">
        <f t="shared" si="3"/>
        <v>1.1363729606279926</v>
      </c>
      <c r="I22" t="s">
        <v>155</v>
      </c>
      <c r="J22" s="1">
        <f t="shared" si="5"/>
        <v>1627.3409999999999</v>
      </c>
      <c r="K22" s="1">
        <f t="shared" si="6"/>
        <v>1660.3409999999999</v>
      </c>
      <c r="L22" t="s">
        <v>117</v>
      </c>
      <c r="M22">
        <f t="shared" si="4"/>
        <v>1676.8409999999999</v>
      </c>
      <c r="N22" t="s">
        <v>117</v>
      </c>
      <c r="O22" t="s">
        <v>117</v>
      </c>
      <c r="P22">
        <f>M22</f>
        <v>1676.8409999999999</v>
      </c>
    </row>
    <row r="23" spans="1:16" x14ac:dyDescent="0.25">
      <c r="A23" t="s">
        <v>25</v>
      </c>
      <c r="B23" s="1">
        <v>1515.23</v>
      </c>
      <c r="C23">
        <f t="shared" si="0"/>
        <v>16.579999999999927</v>
      </c>
      <c r="D23" t="str">
        <f t="shared" si="1"/>
        <v>A10</v>
      </c>
      <c r="E23" t="s">
        <v>110</v>
      </c>
      <c r="F23" t="s">
        <v>112</v>
      </c>
      <c r="G23">
        <f t="shared" si="2"/>
        <v>1511.8409999999999</v>
      </c>
      <c r="H23">
        <f t="shared" si="3"/>
        <v>0.22366241428694811</v>
      </c>
      <c r="I23" t="s">
        <v>156</v>
      </c>
      <c r="J23" s="1">
        <f t="shared" si="5"/>
        <v>1660.3409999999999</v>
      </c>
      <c r="K23" s="1">
        <f t="shared" si="6"/>
        <v>1693.3409999999999</v>
      </c>
      <c r="L23" t="s">
        <v>118</v>
      </c>
      <c r="M23">
        <f t="shared" si="4"/>
        <v>1709.8409999999999</v>
      </c>
      <c r="N23" t="s">
        <v>118</v>
      </c>
      <c r="O23" t="s">
        <v>171</v>
      </c>
      <c r="P23">
        <f>(M22+M23+M25)/3</f>
        <v>1720.8409999999997</v>
      </c>
    </row>
    <row r="24" spans="1:16" x14ac:dyDescent="0.25">
      <c r="A24" t="s">
        <v>26</v>
      </c>
      <c r="B24" s="1">
        <v>1498.65</v>
      </c>
      <c r="C24">
        <f t="shared" si="0"/>
        <v>14.620000000000118</v>
      </c>
      <c r="D24" t="str">
        <f t="shared" si="1"/>
        <v>A10</v>
      </c>
      <c r="E24" t="s">
        <v>112</v>
      </c>
      <c r="F24" t="s">
        <v>112</v>
      </c>
      <c r="G24">
        <f t="shared" si="2"/>
        <v>1495.3409999999999</v>
      </c>
      <c r="H24">
        <f t="shared" si="3"/>
        <v>0.22079871884697536</v>
      </c>
      <c r="I24" t="s">
        <v>157</v>
      </c>
      <c r="J24" s="1">
        <f t="shared" si="5"/>
        <v>1693.3409999999999</v>
      </c>
      <c r="K24" s="1">
        <f t="shared" si="6"/>
        <v>1726.3409999999999</v>
      </c>
      <c r="L24" t="s">
        <v>119</v>
      </c>
      <c r="M24">
        <f t="shared" si="4"/>
        <v>1742.8409999999999</v>
      </c>
      <c r="N24" t="s">
        <v>119</v>
      </c>
      <c r="O24" t="s">
        <v>172</v>
      </c>
      <c r="P24">
        <f>(M24+M26)/2</f>
        <v>1775.8409999999999</v>
      </c>
    </row>
    <row r="25" spans="1:16" x14ac:dyDescent="0.25">
      <c r="A25" t="s">
        <v>27</v>
      </c>
      <c r="B25" s="1">
        <v>1484.03</v>
      </c>
      <c r="C25">
        <f t="shared" si="0"/>
        <v>17.349999999999909</v>
      </c>
      <c r="D25" t="str">
        <f t="shared" si="1"/>
        <v>A9</v>
      </c>
      <c r="E25" t="s">
        <v>112</v>
      </c>
      <c r="F25" t="s">
        <v>111</v>
      </c>
      <c r="G25">
        <f t="shared" si="2"/>
        <v>1495.3409999999999</v>
      </c>
      <c r="H25">
        <f t="shared" si="3"/>
        <v>0.76218135751972138</v>
      </c>
      <c r="I25" t="s">
        <v>158</v>
      </c>
      <c r="J25" s="1">
        <f t="shared" si="5"/>
        <v>1726.3409999999999</v>
      </c>
      <c r="K25" s="1">
        <f t="shared" si="6"/>
        <v>1759.3409999999999</v>
      </c>
      <c r="L25" t="s">
        <v>120</v>
      </c>
      <c r="M25">
        <f t="shared" si="4"/>
        <v>1775.8409999999999</v>
      </c>
      <c r="N25" t="s">
        <v>120</v>
      </c>
      <c r="O25" t="s">
        <v>173</v>
      </c>
      <c r="P25">
        <f>(M23+M25+3*M26+2*M30)/7</f>
        <v>1826.9137142857139</v>
      </c>
    </row>
    <row r="26" spans="1:16" x14ac:dyDescent="0.25">
      <c r="A26" t="s">
        <v>28</v>
      </c>
      <c r="B26" s="1">
        <v>1466.68</v>
      </c>
      <c r="C26">
        <f t="shared" si="0"/>
        <v>69.460000000000036</v>
      </c>
      <c r="D26" t="str">
        <f t="shared" si="1"/>
        <v>A9</v>
      </c>
      <c r="E26" t="s">
        <v>111</v>
      </c>
      <c r="F26" t="s">
        <v>111</v>
      </c>
      <c r="G26">
        <f t="shared" si="2"/>
        <v>1511.8409999999999</v>
      </c>
      <c r="H26">
        <f t="shared" si="3"/>
        <v>3.079131098808181</v>
      </c>
      <c r="I26" t="s">
        <v>159</v>
      </c>
      <c r="J26" s="1">
        <f t="shared" si="5"/>
        <v>1759.3409999999999</v>
      </c>
      <c r="K26" s="1">
        <f t="shared" si="6"/>
        <v>1792.3409999999999</v>
      </c>
      <c r="L26" t="s">
        <v>121</v>
      </c>
      <c r="M26">
        <f t="shared" si="4"/>
        <v>1808.8409999999999</v>
      </c>
      <c r="N26" t="s">
        <v>121</v>
      </c>
      <c r="O26" t="s">
        <v>174</v>
      </c>
      <c r="P26">
        <f>(3*M25+M27+M28)/5</f>
        <v>1808.8409999999999</v>
      </c>
    </row>
    <row r="27" spans="1:16" x14ac:dyDescent="0.25">
      <c r="A27" t="s">
        <v>29</v>
      </c>
      <c r="B27" s="1">
        <v>1536.14</v>
      </c>
      <c r="C27">
        <f t="shared" si="0"/>
        <v>35.449999999999818</v>
      </c>
      <c r="D27" t="str">
        <f t="shared" si="1"/>
        <v>A11</v>
      </c>
      <c r="E27" t="s">
        <v>111</v>
      </c>
      <c r="F27" t="s">
        <v>113</v>
      </c>
      <c r="G27">
        <f t="shared" si="2"/>
        <v>1511.8409999999999</v>
      </c>
      <c r="H27">
        <f t="shared" si="3"/>
        <v>1.581821969351765</v>
      </c>
      <c r="I27" t="s">
        <v>160</v>
      </c>
      <c r="J27" s="1">
        <f t="shared" si="5"/>
        <v>1792.3409999999999</v>
      </c>
      <c r="K27" s="1">
        <f t="shared" si="6"/>
        <v>1825.3409999999999</v>
      </c>
      <c r="L27" t="s">
        <v>122</v>
      </c>
      <c r="M27">
        <f t="shared" si="4"/>
        <v>1841.8409999999999</v>
      </c>
      <c r="N27" t="s">
        <v>122</v>
      </c>
      <c r="O27" t="s">
        <v>175</v>
      </c>
      <c r="P27">
        <f>(M24+M26+M28+M30)/4</f>
        <v>1841.1546249999997</v>
      </c>
    </row>
    <row r="28" spans="1:16" x14ac:dyDescent="0.25">
      <c r="A28" t="s">
        <v>30</v>
      </c>
      <c r="B28" s="1">
        <v>1571.59</v>
      </c>
      <c r="C28">
        <f t="shared" si="0"/>
        <v>37.600000000000136</v>
      </c>
      <c r="D28" t="str">
        <f t="shared" si="1"/>
        <v>A12</v>
      </c>
      <c r="E28" t="s">
        <v>113</v>
      </c>
      <c r="F28" t="s">
        <v>114</v>
      </c>
      <c r="G28">
        <f t="shared" si="2"/>
        <v>1577.8409999999999</v>
      </c>
      <c r="H28">
        <f t="shared" si="3"/>
        <v>0.39775004931311453</v>
      </c>
      <c r="I28" t="s">
        <v>161</v>
      </c>
      <c r="J28" s="1">
        <f t="shared" si="5"/>
        <v>1825.3409999999999</v>
      </c>
      <c r="K28" s="1">
        <f t="shared" si="6"/>
        <v>1858.3409999999999</v>
      </c>
      <c r="L28" t="s">
        <v>123</v>
      </c>
      <c r="M28">
        <f t="shared" si="4"/>
        <v>1874.8409999999999</v>
      </c>
      <c r="N28" t="s">
        <v>123</v>
      </c>
      <c r="O28" t="s">
        <v>176</v>
      </c>
      <c r="P28">
        <f>(M26+2*M27)/3</f>
        <v>1830.8409999999997</v>
      </c>
    </row>
    <row r="29" spans="1:16" x14ac:dyDescent="0.25">
      <c r="A29" t="s">
        <v>31</v>
      </c>
      <c r="B29" s="1">
        <v>1609.19</v>
      </c>
      <c r="C29">
        <f t="shared" si="0"/>
        <v>23.730000000000018</v>
      </c>
      <c r="D29" t="str">
        <f t="shared" si="1"/>
        <v>A13</v>
      </c>
      <c r="E29" t="s">
        <v>114</v>
      </c>
      <c r="F29" t="s">
        <v>115</v>
      </c>
      <c r="G29">
        <f t="shared" si="2"/>
        <v>1610.8409999999999</v>
      </c>
      <c r="H29">
        <f t="shared" si="3"/>
        <v>0.10259820157966677</v>
      </c>
      <c r="I29" t="s">
        <v>162</v>
      </c>
      <c r="J29" s="1">
        <f t="shared" si="5"/>
        <v>1858.3409999999999</v>
      </c>
      <c r="K29" s="1">
        <f t="shared" si="6"/>
        <v>1891.3409999999999</v>
      </c>
      <c r="L29" t="s">
        <v>124</v>
      </c>
      <c r="M29">
        <f t="shared" si="4"/>
        <v>1907.8409999999999</v>
      </c>
      <c r="N29" t="s">
        <v>124</v>
      </c>
      <c r="O29" t="s">
        <v>177</v>
      </c>
      <c r="P29">
        <f>(M27+M29)/2</f>
        <v>1874.8409999999999</v>
      </c>
    </row>
    <row r="30" spans="1:16" x14ac:dyDescent="0.25">
      <c r="A30" t="s">
        <v>32</v>
      </c>
      <c r="B30" s="1">
        <v>1632.92</v>
      </c>
      <c r="C30">
        <f t="shared" si="0"/>
        <v>75.990000000000009</v>
      </c>
      <c r="D30" t="str">
        <f t="shared" si="1"/>
        <v>A14</v>
      </c>
      <c r="E30" t="s">
        <v>115</v>
      </c>
      <c r="F30" t="s">
        <v>116</v>
      </c>
      <c r="G30">
        <f t="shared" si="2"/>
        <v>1643.8409999999999</v>
      </c>
      <c r="H30">
        <f t="shared" si="3"/>
        <v>0.66880190088919367</v>
      </c>
      <c r="I30" t="s">
        <v>163</v>
      </c>
      <c r="J30" s="1">
        <f t="shared" si="5"/>
        <v>1891.3409999999999</v>
      </c>
      <c r="K30" s="1">
        <f t="shared" si="6"/>
        <v>1924.3409999999999</v>
      </c>
      <c r="L30" t="s">
        <v>125</v>
      </c>
      <c r="M30">
        <f>(J31+K31)/2</f>
        <v>1938.0954999999999</v>
      </c>
      <c r="N30" t="s">
        <v>125</v>
      </c>
      <c r="O30" t="s">
        <v>178</v>
      </c>
      <c r="P30">
        <f>(M28+M29+2*M30)/4</f>
        <v>1914.7182499999999</v>
      </c>
    </row>
    <row r="31" spans="1:16" x14ac:dyDescent="0.25">
      <c r="A31" t="s">
        <v>33</v>
      </c>
      <c r="B31" s="1">
        <v>1708.91</v>
      </c>
      <c r="C31">
        <f t="shared" si="0"/>
        <v>10.899999999999864</v>
      </c>
      <c r="D31" t="str">
        <f t="shared" si="1"/>
        <v>A16</v>
      </c>
      <c r="E31" t="s">
        <v>116</v>
      </c>
      <c r="F31" t="s">
        <v>118</v>
      </c>
      <c r="G31">
        <f t="shared" si="2"/>
        <v>1709.8409999999999</v>
      </c>
      <c r="H31">
        <f t="shared" si="3"/>
        <v>5.4479170933508056E-2</v>
      </c>
      <c r="I31" t="s">
        <v>164</v>
      </c>
      <c r="J31" s="1">
        <f t="shared" si="5"/>
        <v>1924.3409999999999</v>
      </c>
      <c r="K31" s="1">
        <f>K2</f>
        <v>1951.85</v>
      </c>
    </row>
    <row r="32" spans="1:16" x14ac:dyDescent="0.25">
      <c r="A32" t="s">
        <v>34</v>
      </c>
      <c r="B32" s="1">
        <v>1719.81</v>
      </c>
      <c r="C32">
        <f t="shared" si="0"/>
        <v>64.930000000000064</v>
      </c>
      <c r="D32" t="str">
        <f t="shared" si="1"/>
        <v>A16</v>
      </c>
      <c r="E32" t="s">
        <v>118</v>
      </c>
      <c r="F32" t="s">
        <v>118</v>
      </c>
      <c r="G32">
        <f t="shared" si="2"/>
        <v>1720.8409999999997</v>
      </c>
      <c r="H32">
        <f t="shared" si="3"/>
        <v>5.9948482681210238E-2</v>
      </c>
    </row>
    <row r="33" spans="1:8" x14ac:dyDescent="0.25">
      <c r="A33" t="s">
        <v>35</v>
      </c>
      <c r="B33" s="1">
        <v>1784.74</v>
      </c>
      <c r="C33">
        <f t="shared" si="0"/>
        <v>167.1099999999999</v>
      </c>
      <c r="D33" t="str">
        <f t="shared" si="1"/>
        <v>A18</v>
      </c>
      <c r="E33" t="s">
        <v>118</v>
      </c>
      <c r="F33" t="s">
        <v>120</v>
      </c>
      <c r="G33">
        <f t="shared" si="2"/>
        <v>1720.8409999999997</v>
      </c>
      <c r="H33">
        <f t="shared" si="3"/>
        <v>3.5802974102670611</v>
      </c>
    </row>
    <row r="34" spans="1:8" x14ac:dyDescent="0.25">
      <c r="A34" t="s">
        <v>36</v>
      </c>
      <c r="B34" s="1">
        <v>1951.85</v>
      </c>
      <c r="C34">
        <f t="shared" si="0"/>
        <v>10.699999999999818</v>
      </c>
      <c r="D34" t="s">
        <v>125</v>
      </c>
      <c r="E34" t="s">
        <v>120</v>
      </c>
      <c r="F34" t="s">
        <v>125</v>
      </c>
      <c r="G34">
        <f t="shared" si="2"/>
        <v>1826.9137142857139</v>
      </c>
      <c r="H34">
        <f t="shared" si="3"/>
        <v>6.4009163467626102</v>
      </c>
    </row>
    <row r="35" spans="1:8" x14ac:dyDescent="0.25">
      <c r="A35" t="s">
        <v>37</v>
      </c>
      <c r="B35" s="1">
        <v>1941.15</v>
      </c>
      <c r="C35">
        <f t="shared" si="0"/>
        <v>46.009999999999991</v>
      </c>
      <c r="D35" t="str">
        <f t="shared" si="1"/>
        <v>A23</v>
      </c>
      <c r="E35" t="s">
        <v>125</v>
      </c>
      <c r="F35" t="s">
        <v>125</v>
      </c>
      <c r="G35">
        <f t="shared" si="2"/>
        <v>1914.7182499999999</v>
      </c>
      <c r="H35">
        <f t="shared" si="3"/>
        <v>1.3616541740720804</v>
      </c>
    </row>
    <row r="36" spans="1:8" x14ac:dyDescent="0.25">
      <c r="A36" t="s">
        <v>38</v>
      </c>
      <c r="B36" s="1">
        <v>1895.14</v>
      </c>
      <c r="C36">
        <f t="shared" si="0"/>
        <v>3.3200000000001637</v>
      </c>
      <c r="D36" t="str">
        <f t="shared" si="1"/>
        <v>A22</v>
      </c>
      <c r="E36" t="s">
        <v>125</v>
      </c>
      <c r="F36" t="s">
        <v>124</v>
      </c>
      <c r="G36">
        <f t="shared" si="2"/>
        <v>1914.7182499999999</v>
      </c>
      <c r="H36">
        <f t="shared" si="3"/>
        <v>1.0330767120107114</v>
      </c>
    </row>
    <row r="37" spans="1:8" x14ac:dyDescent="0.25">
      <c r="A37" t="s">
        <v>39</v>
      </c>
      <c r="B37" s="1">
        <v>1891.82</v>
      </c>
      <c r="C37">
        <f t="shared" si="0"/>
        <v>56.389999999999873</v>
      </c>
      <c r="D37" t="str">
        <f t="shared" si="1"/>
        <v>A22</v>
      </c>
      <c r="E37" t="s">
        <v>124</v>
      </c>
      <c r="F37" t="s">
        <v>124</v>
      </c>
      <c r="G37">
        <f t="shared" si="2"/>
        <v>1874.8409999999999</v>
      </c>
      <c r="H37">
        <f t="shared" si="3"/>
        <v>0.89749553340170007</v>
      </c>
    </row>
    <row r="38" spans="1:8" x14ac:dyDescent="0.25">
      <c r="A38" t="s">
        <v>40</v>
      </c>
      <c r="B38" s="1">
        <v>1835.43</v>
      </c>
      <c r="C38">
        <f t="shared" si="0"/>
        <v>40.990000000000009</v>
      </c>
      <c r="D38" t="str">
        <f t="shared" si="1"/>
        <v>A20</v>
      </c>
      <c r="E38" t="s">
        <v>124</v>
      </c>
      <c r="F38" t="s">
        <v>122</v>
      </c>
      <c r="G38">
        <f t="shared" si="2"/>
        <v>1874.8409999999999</v>
      </c>
      <c r="H38">
        <f t="shared" si="3"/>
        <v>2.1472352527745446</v>
      </c>
    </row>
    <row r="39" spans="1:8" x14ac:dyDescent="0.25">
      <c r="A39" t="s">
        <v>41</v>
      </c>
      <c r="B39" s="1">
        <v>1876.42</v>
      </c>
      <c r="C39">
        <f t="shared" si="0"/>
        <v>46.370000000000118</v>
      </c>
      <c r="D39" t="str">
        <f t="shared" si="1"/>
        <v>A21</v>
      </c>
      <c r="E39" t="s">
        <v>122</v>
      </c>
      <c r="F39" t="s">
        <v>123</v>
      </c>
      <c r="G39">
        <f t="shared" si="2"/>
        <v>1841.1546249999997</v>
      </c>
      <c r="H39">
        <f t="shared" si="3"/>
        <v>1.8793966702550815</v>
      </c>
    </row>
    <row r="40" spans="1:8" x14ac:dyDescent="0.25">
      <c r="A40" t="s">
        <v>42</v>
      </c>
      <c r="B40" s="1">
        <v>1830.05</v>
      </c>
      <c r="C40">
        <f t="shared" si="0"/>
        <v>95.349999999999909</v>
      </c>
      <c r="D40" t="str">
        <f t="shared" si="1"/>
        <v>A20</v>
      </c>
      <c r="E40" t="s">
        <v>123</v>
      </c>
      <c r="F40" t="s">
        <v>122</v>
      </c>
      <c r="G40">
        <f t="shared" si="2"/>
        <v>1830.8409999999997</v>
      </c>
      <c r="H40">
        <f t="shared" si="3"/>
        <v>4.3222862763296774E-2</v>
      </c>
    </row>
    <row r="41" spans="1:8" x14ac:dyDescent="0.25">
      <c r="A41" t="s">
        <v>43</v>
      </c>
      <c r="B41" s="1">
        <v>1734.7</v>
      </c>
      <c r="C41">
        <f t="shared" si="0"/>
        <v>0.60999999999989996</v>
      </c>
      <c r="D41" t="str">
        <f t="shared" si="1"/>
        <v>A17</v>
      </c>
      <c r="E41" t="s">
        <v>122</v>
      </c>
      <c r="F41" t="s">
        <v>119</v>
      </c>
      <c r="G41">
        <f t="shared" si="2"/>
        <v>1841.1546249999997</v>
      </c>
      <c r="H41">
        <f t="shared" si="3"/>
        <v>6.1367743702080837</v>
      </c>
    </row>
    <row r="42" spans="1:8" x14ac:dyDescent="0.25">
      <c r="A42" t="s">
        <v>44</v>
      </c>
      <c r="B42" s="1">
        <v>1735.31</v>
      </c>
      <c r="C42">
        <f t="shared" si="0"/>
        <v>74.420000000000073</v>
      </c>
      <c r="D42" t="str">
        <f t="shared" si="1"/>
        <v>A17</v>
      </c>
      <c r="E42" t="s">
        <v>119</v>
      </c>
      <c r="F42" t="s">
        <v>119</v>
      </c>
      <c r="G42">
        <f t="shared" si="2"/>
        <v>1775.8409999999999</v>
      </c>
      <c r="H42">
        <f t="shared" si="3"/>
        <v>2.3356633685047599</v>
      </c>
    </row>
    <row r="43" spans="1:8" x14ac:dyDescent="0.25">
      <c r="A43" t="s">
        <v>45</v>
      </c>
      <c r="B43" s="1">
        <v>1809.73</v>
      </c>
      <c r="C43">
        <f t="shared" si="0"/>
        <v>64.599999999999909</v>
      </c>
      <c r="D43" t="str">
        <f t="shared" si="1"/>
        <v>A19</v>
      </c>
      <c r="E43" t="s">
        <v>119</v>
      </c>
      <c r="F43" t="s">
        <v>121</v>
      </c>
      <c r="G43">
        <f t="shared" si="2"/>
        <v>1775.8409999999999</v>
      </c>
      <c r="H43">
        <f t="shared" si="3"/>
        <v>1.8725997800776981</v>
      </c>
    </row>
    <row r="44" spans="1:8" x14ac:dyDescent="0.25">
      <c r="A44" t="s">
        <v>46</v>
      </c>
      <c r="B44" s="1">
        <v>1874.33</v>
      </c>
      <c r="C44">
        <f t="shared" si="0"/>
        <v>79.490000000000009</v>
      </c>
      <c r="D44" t="str">
        <f t="shared" si="1"/>
        <v>A21</v>
      </c>
      <c r="E44" t="s">
        <v>121</v>
      </c>
      <c r="F44" t="s">
        <v>123</v>
      </c>
      <c r="G44">
        <f t="shared" si="2"/>
        <v>1808.8409999999999</v>
      </c>
      <c r="H44">
        <f t="shared" si="3"/>
        <v>3.493995187613709</v>
      </c>
    </row>
    <row r="45" spans="1:8" x14ac:dyDescent="0.25">
      <c r="A45" t="s">
        <v>47</v>
      </c>
      <c r="B45" s="1">
        <v>1794.84</v>
      </c>
      <c r="C45">
        <f t="shared" si="0"/>
        <v>5.1999999999998181</v>
      </c>
      <c r="D45" t="str">
        <f t="shared" si="1"/>
        <v>A19</v>
      </c>
      <c r="E45" t="s">
        <v>123</v>
      </c>
      <c r="F45" t="s">
        <v>121</v>
      </c>
      <c r="G45">
        <f t="shared" si="2"/>
        <v>1830.8409999999997</v>
      </c>
      <c r="H45">
        <f t="shared" si="3"/>
        <v>2.0058055314122569</v>
      </c>
    </row>
    <row r="46" spans="1:8" x14ac:dyDescent="0.25">
      <c r="A46" t="s">
        <v>48</v>
      </c>
      <c r="B46" s="1">
        <v>1789.64</v>
      </c>
      <c r="C46">
        <f t="shared" si="0"/>
        <v>5.6799999999998363</v>
      </c>
      <c r="D46" t="str">
        <f t="shared" si="1"/>
        <v>A18</v>
      </c>
      <c r="E46" t="s">
        <v>121</v>
      </c>
      <c r="F46" t="s">
        <v>120</v>
      </c>
      <c r="G46">
        <f t="shared" si="2"/>
        <v>1808.8409999999999</v>
      </c>
      <c r="H46">
        <f t="shared" si="3"/>
        <v>1.0728973424822754</v>
      </c>
    </row>
    <row r="47" spans="1:8" x14ac:dyDescent="0.25">
      <c r="A47" t="s">
        <v>49</v>
      </c>
      <c r="B47" s="1">
        <v>1795.32</v>
      </c>
      <c r="C47">
        <f t="shared" si="0"/>
        <v>32.75</v>
      </c>
      <c r="D47" t="str">
        <f t="shared" si="1"/>
        <v>A19</v>
      </c>
      <c r="E47" t="s">
        <v>120</v>
      </c>
      <c r="F47" t="s">
        <v>121</v>
      </c>
      <c r="G47">
        <f t="shared" si="2"/>
        <v>1826.9137142857139</v>
      </c>
      <c r="H47">
        <f t="shared" si="3"/>
        <v>1.7597817818391144</v>
      </c>
    </row>
    <row r="48" spans="1:8" x14ac:dyDescent="0.25">
      <c r="A48" t="s">
        <v>50</v>
      </c>
      <c r="B48" s="1">
        <v>1762.57</v>
      </c>
      <c r="C48">
        <f t="shared" si="0"/>
        <v>54.950000000000045</v>
      </c>
      <c r="D48" t="str">
        <f t="shared" si="1"/>
        <v>A18</v>
      </c>
      <c r="E48" t="s">
        <v>121</v>
      </c>
      <c r="F48" t="s">
        <v>120</v>
      </c>
      <c r="G48">
        <f t="shared" si="2"/>
        <v>1808.8409999999999</v>
      </c>
      <c r="H48">
        <f t="shared" si="3"/>
        <v>2.6252007012487426</v>
      </c>
    </row>
    <row r="49" spans="1:8" x14ac:dyDescent="0.25">
      <c r="A49" t="s">
        <v>51</v>
      </c>
      <c r="B49" s="1">
        <v>1817.52</v>
      </c>
      <c r="C49">
        <f t="shared" si="0"/>
        <v>31.279999999999973</v>
      </c>
      <c r="D49" t="str">
        <f t="shared" si="1"/>
        <v>A19</v>
      </c>
      <c r="E49" t="s">
        <v>120</v>
      </c>
      <c r="F49" t="s">
        <v>121</v>
      </c>
      <c r="G49">
        <f t="shared" si="2"/>
        <v>1826.9137142857139</v>
      </c>
      <c r="H49">
        <f t="shared" si="3"/>
        <v>0.51684241635381956</v>
      </c>
    </row>
    <row r="50" spans="1:8" x14ac:dyDescent="0.25">
      <c r="A50" t="s">
        <v>52</v>
      </c>
      <c r="B50" s="1">
        <v>1786.24</v>
      </c>
      <c r="C50">
        <f t="shared" si="0"/>
        <v>21.289999999999964</v>
      </c>
      <c r="D50" t="str">
        <f t="shared" si="1"/>
        <v>A18</v>
      </c>
      <c r="E50" t="s">
        <v>121</v>
      </c>
      <c r="F50" t="s">
        <v>120</v>
      </c>
      <c r="G50">
        <f t="shared" si="2"/>
        <v>1808.8409999999999</v>
      </c>
      <c r="H50">
        <f t="shared" si="3"/>
        <v>1.2652835005374352</v>
      </c>
    </row>
    <row r="51" spans="1:8" x14ac:dyDescent="0.25">
      <c r="A51" t="s">
        <v>53</v>
      </c>
      <c r="B51" s="1">
        <v>1807.53</v>
      </c>
      <c r="C51">
        <f t="shared" si="0"/>
        <v>23.549999999999955</v>
      </c>
      <c r="D51" t="str">
        <f t="shared" si="1"/>
        <v>A19</v>
      </c>
      <c r="E51" t="s">
        <v>120</v>
      </c>
      <c r="F51" t="s">
        <v>121</v>
      </c>
      <c r="G51">
        <f t="shared" si="2"/>
        <v>1826.9137142857139</v>
      </c>
      <c r="H51">
        <f t="shared" si="3"/>
        <v>1.0723868641579366</v>
      </c>
    </row>
    <row r="52" spans="1:8" x14ac:dyDescent="0.25">
      <c r="A52" t="s">
        <v>54</v>
      </c>
      <c r="B52" s="1">
        <v>1831.08</v>
      </c>
      <c r="C52">
        <f t="shared" si="0"/>
        <v>109.23000000000002</v>
      </c>
      <c r="D52" t="str">
        <f t="shared" si="1"/>
        <v>A20</v>
      </c>
      <c r="E52" t="s">
        <v>121</v>
      </c>
      <c r="F52" t="s">
        <v>122</v>
      </c>
      <c r="G52">
        <f t="shared" si="2"/>
        <v>1808.8409999999999</v>
      </c>
      <c r="H52">
        <f t="shared" si="3"/>
        <v>1.214529130349304</v>
      </c>
    </row>
    <row r="53" spans="1:8" x14ac:dyDescent="0.25">
      <c r="A53" t="s">
        <v>55</v>
      </c>
      <c r="B53" s="1">
        <v>1940.31</v>
      </c>
      <c r="C53">
        <f t="shared" si="0"/>
        <v>2.1000000000001364</v>
      </c>
      <c r="D53" t="str">
        <f t="shared" si="1"/>
        <v>A23</v>
      </c>
      <c r="E53" t="s">
        <v>122</v>
      </c>
      <c r="F53" t="s">
        <v>125</v>
      </c>
      <c r="G53">
        <f t="shared" si="2"/>
        <v>1841.1546249999997</v>
      </c>
      <c r="H53">
        <f t="shared" si="3"/>
        <v>5.1102852121568354</v>
      </c>
    </row>
    <row r="54" spans="1:8" x14ac:dyDescent="0.25">
      <c r="A54" t="s">
        <v>56</v>
      </c>
      <c r="B54" s="1">
        <v>1942.41</v>
      </c>
      <c r="C54">
        <f t="shared" si="0"/>
        <v>69.269999999999982</v>
      </c>
      <c r="D54" t="str">
        <f t="shared" si="1"/>
        <v>A23</v>
      </c>
      <c r="E54" t="s">
        <v>125</v>
      </c>
      <c r="F54" t="s">
        <v>125</v>
      </c>
      <c r="G54">
        <f t="shared" si="2"/>
        <v>1914.7182499999999</v>
      </c>
      <c r="H54">
        <f t="shared" si="3"/>
        <v>1.4256387683341922</v>
      </c>
    </row>
    <row r="55" spans="1:8" x14ac:dyDescent="0.25">
      <c r="A55" t="s">
        <v>57</v>
      </c>
      <c r="B55" s="1">
        <v>1873.14</v>
      </c>
      <c r="C55">
        <f t="shared" si="0"/>
        <v>30.570000000000164</v>
      </c>
      <c r="D55" t="str">
        <f t="shared" si="1"/>
        <v>A21</v>
      </c>
      <c r="E55" t="s">
        <v>125</v>
      </c>
      <c r="F55" t="s">
        <v>123</v>
      </c>
      <c r="G55">
        <f t="shared" si="2"/>
        <v>1914.7182499999999</v>
      </c>
      <c r="H55">
        <f t="shared" si="3"/>
        <v>2.2197086176153302</v>
      </c>
    </row>
    <row r="56" spans="1:8" x14ac:dyDescent="0.25">
      <c r="A56" t="s">
        <v>58</v>
      </c>
      <c r="B56" s="1">
        <v>1842.57</v>
      </c>
      <c r="C56">
        <f t="shared" si="0"/>
        <v>64.450000000000045</v>
      </c>
      <c r="D56" t="str">
        <f t="shared" si="1"/>
        <v>A20</v>
      </c>
      <c r="E56" t="s">
        <v>123</v>
      </c>
      <c r="F56" t="s">
        <v>122</v>
      </c>
      <c r="G56">
        <f t="shared" si="2"/>
        <v>1830.8409999999997</v>
      </c>
      <c r="H56">
        <f t="shared" si="3"/>
        <v>0.63655654873357703</v>
      </c>
    </row>
    <row r="57" spans="1:8" x14ac:dyDescent="0.25">
      <c r="A57" t="s">
        <v>59</v>
      </c>
      <c r="B57" s="1">
        <v>1778.12</v>
      </c>
      <c r="C57">
        <f t="shared" si="0"/>
        <v>18.149999999999864</v>
      </c>
      <c r="D57" t="str">
        <f t="shared" si="1"/>
        <v>A18</v>
      </c>
      <c r="E57" t="s">
        <v>122</v>
      </c>
      <c r="F57" t="s">
        <v>120</v>
      </c>
      <c r="G57">
        <f t="shared" si="2"/>
        <v>1841.1546249999997</v>
      </c>
      <c r="H57">
        <f t="shared" si="3"/>
        <v>3.5450152408161308</v>
      </c>
    </row>
    <row r="58" spans="1:8" x14ac:dyDescent="0.25">
      <c r="A58" t="s">
        <v>60</v>
      </c>
      <c r="B58" s="1">
        <v>1759.97</v>
      </c>
      <c r="C58">
        <f t="shared" si="0"/>
        <v>43.600000000000136</v>
      </c>
      <c r="D58" t="str">
        <f t="shared" si="1"/>
        <v>A18</v>
      </c>
      <c r="E58" t="s">
        <v>120</v>
      </c>
      <c r="F58" t="s">
        <v>120</v>
      </c>
      <c r="G58">
        <f t="shared" si="2"/>
        <v>1826.9137142857139</v>
      </c>
      <c r="H58">
        <f t="shared" si="3"/>
        <v>3.8036849654092908</v>
      </c>
    </row>
    <row r="59" spans="1:8" x14ac:dyDescent="0.25">
      <c r="A59" t="s">
        <v>61</v>
      </c>
      <c r="B59" s="1">
        <v>1716.37</v>
      </c>
      <c r="C59">
        <f t="shared" si="0"/>
        <v>49.979999999999791</v>
      </c>
      <c r="D59" t="str">
        <f t="shared" si="1"/>
        <v>A16</v>
      </c>
      <c r="E59" t="s">
        <v>120</v>
      </c>
      <c r="F59" t="s">
        <v>118</v>
      </c>
      <c r="G59">
        <f t="shared" si="2"/>
        <v>1826.9137142857139</v>
      </c>
      <c r="H59">
        <f t="shared" si="3"/>
        <v>6.4405526946820348</v>
      </c>
    </row>
    <row r="60" spans="1:8" x14ac:dyDescent="0.25">
      <c r="A60" t="s">
        <v>62</v>
      </c>
      <c r="B60" s="1">
        <v>1666.39</v>
      </c>
      <c r="C60">
        <f t="shared" si="0"/>
        <v>24.4699999999998</v>
      </c>
      <c r="D60" t="str">
        <f t="shared" si="1"/>
        <v>A15</v>
      </c>
      <c r="E60" t="s">
        <v>118</v>
      </c>
      <c r="F60" t="s">
        <v>117</v>
      </c>
      <c r="G60">
        <f t="shared" si="2"/>
        <v>1720.8409999999997</v>
      </c>
      <c r="H60">
        <f t="shared" si="3"/>
        <v>3.2676024220020263</v>
      </c>
    </row>
    <row r="61" spans="1:8" x14ac:dyDescent="0.25">
      <c r="A61" s="3">
        <v>44917</v>
      </c>
      <c r="B61" s="1">
        <v>1690.86</v>
      </c>
      <c r="C61">
        <f t="shared" si="0"/>
        <v>1690.86</v>
      </c>
      <c r="D61" t="str">
        <f t="shared" si="1"/>
        <v>A15</v>
      </c>
      <c r="E61" t="s">
        <v>117</v>
      </c>
      <c r="F61" t="s">
        <v>117</v>
      </c>
      <c r="G61" s="1">
        <f>VLOOKUP(E61,$N$8:$P$30,3,FALSE)</f>
        <v>1676.8409999999999</v>
      </c>
      <c r="H61">
        <f t="shared" si="3"/>
        <v>0.82910471594336654</v>
      </c>
    </row>
    <row r="62" spans="1:8" x14ac:dyDescent="0.25">
      <c r="C62" t="s">
        <v>197</v>
      </c>
      <c r="E62" t="s">
        <v>117</v>
      </c>
      <c r="G62">
        <f t="shared" si="2"/>
        <v>1676.8409999999999</v>
      </c>
      <c r="H62">
        <f>AVERAGE(H3:H61)</f>
        <v>1.874615025602457</v>
      </c>
    </row>
  </sheetData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9971-70C3-40A2-88A0-C7A54A57B222}">
  <dimension ref="A1:Q62"/>
  <sheetViews>
    <sheetView workbookViewId="0">
      <selection activeCell="F38" sqref="F38"/>
    </sheetView>
  </sheetViews>
  <sheetFormatPr defaultRowHeight="15" x14ac:dyDescent="0.25"/>
  <cols>
    <col min="1" max="1" width="16.7109375" customWidth="1"/>
    <col min="7" max="7" width="10.5703125" bestFit="1" customWidth="1"/>
    <col min="10" max="10" width="12.7109375" customWidth="1"/>
    <col min="16" max="16" width="26.7109375" customWidth="1"/>
  </cols>
  <sheetData>
    <row r="1" spans="1:17" x14ac:dyDescent="0.25">
      <c r="A1" t="s">
        <v>0</v>
      </c>
      <c r="B1" t="s">
        <v>3</v>
      </c>
      <c r="D1" t="s">
        <v>180</v>
      </c>
      <c r="G1" t="s">
        <v>146</v>
      </c>
      <c r="H1" t="s">
        <v>147</v>
      </c>
    </row>
    <row r="2" spans="1:17" x14ac:dyDescent="0.25">
      <c r="A2" t="s">
        <v>4</v>
      </c>
      <c r="B2" s="1">
        <v>16.420000000000002</v>
      </c>
      <c r="C2">
        <f>ABS(B3-B2)</f>
        <v>0.5</v>
      </c>
      <c r="D2" t="str">
        <f>VLOOKUP(B2,$L$6:$M$27,2,TRUE)</f>
        <v>A4</v>
      </c>
      <c r="F2" t="s">
        <v>77</v>
      </c>
      <c r="J2" t="s">
        <v>63</v>
      </c>
      <c r="K2" s="1">
        <f>MAX(B2:B60)</f>
        <v>27.62</v>
      </c>
    </row>
    <row r="3" spans="1:17" x14ac:dyDescent="0.25">
      <c r="A3" t="s">
        <v>5</v>
      </c>
      <c r="B3" s="1">
        <v>16.920000000000002</v>
      </c>
      <c r="C3">
        <f t="shared" ref="C3:C61" si="0">ABS(B4-B3)</f>
        <v>0</v>
      </c>
      <c r="D3" t="str">
        <f t="shared" ref="D3:D61" si="1">VLOOKUP(B3,$L$6:$M$27,2,TRUE)</f>
        <v>A4</v>
      </c>
      <c r="E3" t="s">
        <v>77</v>
      </c>
      <c r="F3" t="s">
        <v>78</v>
      </c>
      <c r="G3" s="4">
        <f>VLOOKUP(E3,$O$6:$Q$26,3,FALSE)</f>
        <v>16.343190476190479</v>
      </c>
      <c r="H3">
        <f>(ABS((G3-B3)/B3))*100</f>
        <v>3.4090397388269662</v>
      </c>
      <c r="J3" t="s">
        <v>64</v>
      </c>
      <c r="K3" s="1">
        <f>MIN(B2:B60)</f>
        <v>14.4</v>
      </c>
    </row>
    <row r="4" spans="1:17" x14ac:dyDescent="0.25">
      <c r="A4" t="s">
        <v>6</v>
      </c>
      <c r="B4" s="1">
        <v>16.920000000000002</v>
      </c>
      <c r="C4">
        <f t="shared" si="0"/>
        <v>0.41000000000000014</v>
      </c>
      <c r="D4" t="str">
        <f t="shared" si="1"/>
        <v>A4</v>
      </c>
      <c r="E4" t="s">
        <v>78</v>
      </c>
      <c r="F4" t="s">
        <v>78</v>
      </c>
      <c r="G4">
        <f t="shared" ref="G4:G61" si="2">VLOOKUP(E4,$O$6:$Q$26,3,FALSE)</f>
        <v>17.247</v>
      </c>
      <c r="H4">
        <f t="shared" ref="H4:H61" si="3">(ABS((G4-B4)/B4))*100</f>
        <v>1.9326241134751663</v>
      </c>
      <c r="J4" t="s">
        <v>65</v>
      </c>
      <c r="K4">
        <f>(K2-K3)/K5</f>
        <v>20.895679662802952</v>
      </c>
      <c r="L4">
        <v>21</v>
      </c>
    </row>
    <row r="5" spans="1:17" x14ac:dyDescent="0.25">
      <c r="A5" t="s">
        <v>7</v>
      </c>
      <c r="B5" s="1">
        <v>16.510000000000002</v>
      </c>
      <c r="C5">
        <f t="shared" si="0"/>
        <v>9.9999999999980105E-3</v>
      </c>
      <c r="D5" t="str">
        <f t="shared" si="1"/>
        <v>A4</v>
      </c>
      <c r="E5" t="s">
        <v>78</v>
      </c>
      <c r="F5" t="s">
        <v>77</v>
      </c>
      <c r="G5">
        <f t="shared" si="2"/>
        <v>17.247</v>
      </c>
      <c r="H5">
        <f t="shared" si="3"/>
        <v>4.463961235614768</v>
      </c>
      <c r="J5" t="s">
        <v>179</v>
      </c>
      <c r="K5">
        <f>(AVERAGE(C2:C61))/2</f>
        <v>0.63266666666666671</v>
      </c>
    </row>
    <row r="6" spans="1:17" x14ac:dyDescent="0.25">
      <c r="A6" t="s">
        <v>8</v>
      </c>
      <c r="B6" s="1">
        <v>16.52</v>
      </c>
      <c r="C6">
        <f t="shared" si="0"/>
        <v>1.0000000000001563E-2</v>
      </c>
      <c r="D6" t="str">
        <f t="shared" si="1"/>
        <v>A4</v>
      </c>
      <c r="E6" t="s">
        <v>77</v>
      </c>
      <c r="F6" t="s">
        <v>77</v>
      </c>
      <c r="G6">
        <f t="shared" si="2"/>
        <v>16.343190476190479</v>
      </c>
      <c r="H6">
        <f t="shared" si="3"/>
        <v>1.0702755678542413</v>
      </c>
      <c r="L6" s="1">
        <f>K7</f>
        <v>14.4</v>
      </c>
      <c r="M6" t="s">
        <v>74</v>
      </c>
      <c r="N6">
        <f>(K7+L7)/2</f>
        <v>14.716333333333335</v>
      </c>
      <c r="O6" t="s">
        <v>74</v>
      </c>
      <c r="P6" s="2" t="s">
        <v>181</v>
      </c>
      <c r="Q6">
        <f>(4*N6+3*N7)/7</f>
        <v>14.98747619047619</v>
      </c>
    </row>
    <row r="7" spans="1:17" x14ac:dyDescent="0.25">
      <c r="A7" t="s">
        <v>9</v>
      </c>
      <c r="B7" s="1">
        <v>16.53</v>
      </c>
      <c r="C7">
        <f t="shared" si="0"/>
        <v>8.9999999999999858E-2</v>
      </c>
      <c r="D7" t="str">
        <f t="shared" si="1"/>
        <v>A4</v>
      </c>
      <c r="E7" t="s">
        <v>77</v>
      </c>
      <c r="F7" t="s">
        <v>77</v>
      </c>
      <c r="G7">
        <f t="shared" si="2"/>
        <v>16.343190476190479</v>
      </c>
      <c r="H7">
        <f t="shared" si="3"/>
        <v>1.1301241609771457</v>
      </c>
      <c r="J7" t="s">
        <v>83</v>
      </c>
      <c r="K7" s="1">
        <f>K3</f>
        <v>14.4</v>
      </c>
      <c r="L7" s="1">
        <f>K7+$K$5</f>
        <v>15.032666666666668</v>
      </c>
      <c r="M7" t="s">
        <v>75</v>
      </c>
      <c r="N7">
        <f t="shared" ref="N7:N26" si="4">(K8+L8)/2</f>
        <v>15.349</v>
      </c>
      <c r="O7" t="s">
        <v>75</v>
      </c>
      <c r="P7" s="2" t="s">
        <v>182</v>
      </c>
      <c r="Q7">
        <f>(2*N6+N7+N8+N9+N11)/6</f>
        <v>15.876222222222223</v>
      </c>
    </row>
    <row r="8" spans="1:17" x14ac:dyDescent="0.25">
      <c r="A8" t="s">
        <v>10</v>
      </c>
      <c r="B8" s="1">
        <v>16.62</v>
      </c>
      <c r="C8">
        <f t="shared" si="0"/>
        <v>0.63000000000000078</v>
      </c>
      <c r="D8" t="str">
        <f t="shared" si="1"/>
        <v>A4</v>
      </c>
      <c r="E8" t="s">
        <v>77</v>
      </c>
      <c r="F8" t="s">
        <v>77</v>
      </c>
      <c r="G8">
        <f t="shared" si="2"/>
        <v>16.343190476190479</v>
      </c>
      <c r="H8">
        <f t="shared" si="3"/>
        <v>1.6655206005386405</v>
      </c>
      <c r="J8" t="s">
        <v>84</v>
      </c>
      <c r="K8" s="1">
        <f>L7</f>
        <v>15.032666666666668</v>
      </c>
      <c r="L8" s="1">
        <f>K8+$K$5</f>
        <v>15.665333333333335</v>
      </c>
      <c r="M8" t="s">
        <v>76</v>
      </c>
      <c r="N8">
        <f t="shared" si="4"/>
        <v>15.981666666666669</v>
      </c>
      <c r="O8" t="s">
        <v>76</v>
      </c>
      <c r="P8" s="2" t="s">
        <v>183</v>
      </c>
      <c r="Q8">
        <f>2*N7/2</f>
        <v>15.349</v>
      </c>
    </row>
    <row r="9" spans="1:17" x14ac:dyDescent="0.25">
      <c r="A9" t="s">
        <v>11</v>
      </c>
      <c r="B9" s="1">
        <v>15.99</v>
      </c>
      <c r="C9">
        <f t="shared" si="0"/>
        <v>0.6899999999999995</v>
      </c>
      <c r="D9" t="str">
        <f t="shared" si="1"/>
        <v>A3</v>
      </c>
      <c r="E9" t="s">
        <v>77</v>
      </c>
      <c r="F9" t="s">
        <v>76</v>
      </c>
      <c r="G9">
        <f>VLOOKUP(E9,$O$6:$Q$26,3,FALSE)</f>
        <v>16.343190476190479</v>
      </c>
      <c r="H9">
        <f t="shared" si="3"/>
        <v>2.2088209893088102</v>
      </c>
      <c r="J9" t="s">
        <v>85</v>
      </c>
      <c r="K9" s="1">
        <f t="shared" ref="K9:K27" si="5">L8</f>
        <v>15.665333333333335</v>
      </c>
      <c r="L9" s="1">
        <f t="shared" ref="L9:L26" si="6">K9+$K$5</f>
        <v>16.298000000000002</v>
      </c>
      <c r="M9" t="s">
        <v>77</v>
      </c>
      <c r="N9">
        <f t="shared" si="4"/>
        <v>16.614333333333335</v>
      </c>
      <c r="O9" t="s">
        <v>77</v>
      </c>
      <c r="P9" s="2" t="s">
        <v>184</v>
      </c>
      <c r="Q9">
        <f>(N6+3*N8+N9+N10+N11)/7</f>
        <v>16.343190476190479</v>
      </c>
    </row>
    <row r="10" spans="1:17" x14ac:dyDescent="0.25">
      <c r="A10" t="s">
        <v>12</v>
      </c>
      <c r="B10" s="1">
        <v>15.3</v>
      </c>
      <c r="C10">
        <f t="shared" si="0"/>
        <v>0.87000000000000099</v>
      </c>
      <c r="D10" t="str">
        <f t="shared" si="1"/>
        <v>A2</v>
      </c>
      <c r="E10" t="s">
        <v>76</v>
      </c>
      <c r="F10" t="s">
        <v>75</v>
      </c>
      <c r="G10">
        <f t="shared" si="2"/>
        <v>15.349</v>
      </c>
      <c r="H10">
        <f t="shared" si="3"/>
        <v>0.32026143790849337</v>
      </c>
      <c r="J10" t="s">
        <v>86</v>
      </c>
      <c r="K10" s="1">
        <f t="shared" si="5"/>
        <v>16.298000000000002</v>
      </c>
      <c r="L10" s="1">
        <f t="shared" si="6"/>
        <v>16.930666666666667</v>
      </c>
      <c r="M10" t="s">
        <v>78</v>
      </c>
      <c r="N10">
        <f t="shared" si="4"/>
        <v>17.247</v>
      </c>
      <c r="O10" t="s">
        <v>78</v>
      </c>
      <c r="P10" s="2" t="s">
        <v>185</v>
      </c>
      <c r="Q10">
        <f>(N9+2*N10+N11)/4</f>
        <v>17.247</v>
      </c>
    </row>
    <row r="11" spans="1:17" x14ac:dyDescent="0.25">
      <c r="A11" t="s">
        <v>13</v>
      </c>
      <c r="B11" s="1">
        <v>14.43</v>
      </c>
      <c r="C11">
        <f t="shared" si="0"/>
        <v>6.0000000000000497E-2</v>
      </c>
      <c r="D11" t="str">
        <f t="shared" si="1"/>
        <v>A1</v>
      </c>
      <c r="E11" t="s">
        <v>75</v>
      </c>
      <c r="F11" t="s">
        <v>74</v>
      </c>
      <c r="G11">
        <f t="shared" si="2"/>
        <v>15.876222222222223</v>
      </c>
      <c r="H11">
        <f t="shared" si="3"/>
        <v>10.022330022330031</v>
      </c>
      <c r="J11" t="s">
        <v>87</v>
      </c>
      <c r="K11" s="1">
        <f t="shared" si="5"/>
        <v>16.930666666666667</v>
      </c>
      <c r="L11" s="1">
        <f t="shared" si="6"/>
        <v>17.563333333333333</v>
      </c>
      <c r="M11" t="s">
        <v>79</v>
      </c>
      <c r="N11">
        <f t="shared" si="4"/>
        <v>17.879666666666665</v>
      </c>
      <c r="O11" t="s">
        <v>79</v>
      </c>
      <c r="P11" s="2" t="s">
        <v>186</v>
      </c>
      <c r="Q11">
        <f>(N9+N10+2*N11+N12)/5</f>
        <v>17.6266</v>
      </c>
    </row>
    <row r="12" spans="1:17" x14ac:dyDescent="0.25">
      <c r="A12" t="s">
        <v>14</v>
      </c>
      <c r="B12" s="1">
        <v>14.49</v>
      </c>
      <c r="C12">
        <f t="shared" si="0"/>
        <v>9.9999999999997868E-3</v>
      </c>
      <c r="D12" t="str">
        <f t="shared" si="1"/>
        <v>A1</v>
      </c>
      <c r="E12" t="s">
        <v>74</v>
      </c>
      <c r="F12" t="s">
        <v>74</v>
      </c>
      <c r="G12">
        <f t="shared" si="2"/>
        <v>14.98747619047619</v>
      </c>
      <c r="H12">
        <f t="shared" si="3"/>
        <v>3.4332380295113194</v>
      </c>
      <c r="J12" t="s">
        <v>88</v>
      </c>
      <c r="K12" s="1">
        <f t="shared" si="5"/>
        <v>17.563333333333333</v>
      </c>
      <c r="L12" s="1">
        <f t="shared" si="6"/>
        <v>18.195999999999998</v>
      </c>
      <c r="M12" t="s">
        <v>80</v>
      </c>
      <c r="N12">
        <f t="shared" si="4"/>
        <v>18.512333333333331</v>
      </c>
      <c r="O12" t="s">
        <v>80</v>
      </c>
      <c r="P12" s="2" t="s">
        <v>187</v>
      </c>
      <c r="Q12">
        <f>(N13+N22)/2</f>
        <v>21.99199999999999</v>
      </c>
    </row>
    <row r="13" spans="1:17" x14ac:dyDescent="0.25">
      <c r="A13" t="s">
        <v>15</v>
      </c>
      <c r="B13" s="1">
        <v>14.48</v>
      </c>
      <c r="C13">
        <f t="shared" si="0"/>
        <v>1.9999999999999574E-2</v>
      </c>
      <c r="D13" t="str">
        <f t="shared" si="1"/>
        <v>A1</v>
      </c>
      <c r="E13" t="s">
        <v>74</v>
      </c>
      <c r="F13" t="s">
        <v>74</v>
      </c>
      <c r="G13">
        <f t="shared" si="2"/>
        <v>14.98747619047619</v>
      </c>
      <c r="H13">
        <f t="shared" si="3"/>
        <v>3.5046698237305933</v>
      </c>
      <c r="J13" t="s">
        <v>89</v>
      </c>
      <c r="K13" s="1">
        <f t="shared" si="5"/>
        <v>18.195999999999998</v>
      </c>
      <c r="L13" s="1">
        <f t="shared" si="6"/>
        <v>18.828666666666663</v>
      </c>
      <c r="M13" t="s">
        <v>110</v>
      </c>
      <c r="N13">
        <f t="shared" si="4"/>
        <v>19.144999999999996</v>
      </c>
      <c r="O13" t="s">
        <v>110</v>
      </c>
      <c r="P13" s="2" t="s">
        <v>196</v>
      </c>
      <c r="Q13">
        <f>(N12+N15)/2</f>
        <v>19.461333333333329</v>
      </c>
    </row>
    <row r="14" spans="1:17" x14ac:dyDescent="0.25">
      <c r="A14" t="s">
        <v>16</v>
      </c>
      <c r="B14" s="1">
        <v>14.46</v>
      </c>
      <c r="C14">
        <f t="shared" si="0"/>
        <v>0.94999999999999929</v>
      </c>
      <c r="D14" t="str">
        <f t="shared" si="1"/>
        <v>A1</v>
      </c>
      <c r="E14" t="s">
        <v>74</v>
      </c>
      <c r="F14" t="s">
        <v>74</v>
      </c>
      <c r="G14">
        <f t="shared" si="2"/>
        <v>14.98747619047619</v>
      </c>
      <c r="H14">
        <f t="shared" si="3"/>
        <v>3.6478298096555291</v>
      </c>
      <c r="J14" t="s">
        <v>90</v>
      </c>
      <c r="K14" s="1">
        <f t="shared" si="5"/>
        <v>18.828666666666663</v>
      </c>
      <c r="L14" s="1">
        <f t="shared" si="6"/>
        <v>19.461333333333329</v>
      </c>
      <c r="M14" t="s">
        <v>111</v>
      </c>
      <c r="N14">
        <f t="shared" si="4"/>
        <v>19.777666666666661</v>
      </c>
      <c r="O14" t="s">
        <v>111</v>
      </c>
      <c r="P14" s="2" t="s">
        <v>188</v>
      </c>
      <c r="Q14">
        <f>(N12+N14)/2</f>
        <v>19.144999999999996</v>
      </c>
    </row>
    <row r="15" spans="1:17" x14ac:dyDescent="0.25">
      <c r="A15" t="s">
        <v>17</v>
      </c>
      <c r="B15" s="1">
        <v>15.41</v>
      </c>
      <c r="C15">
        <f t="shared" si="0"/>
        <v>0.26999999999999957</v>
      </c>
      <c r="D15" t="str">
        <f t="shared" si="1"/>
        <v>A2</v>
      </c>
      <c r="E15" t="s">
        <v>74</v>
      </c>
      <c r="F15" t="s">
        <v>75</v>
      </c>
      <c r="G15">
        <f t="shared" si="2"/>
        <v>14.98747619047619</v>
      </c>
      <c r="H15">
        <f t="shared" si="3"/>
        <v>2.7418806588177138</v>
      </c>
      <c r="J15" t="s">
        <v>91</v>
      </c>
      <c r="K15" s="1">
        <f t="shared" si="5"/>
        <v>19.461333333333329</v>
      </c>
      <c r="L15" s="1">
        <f t="shared" si="6"/>
        <v>20.093999999999994</v>
      </c>
      <c r="M15" t="s">
        <v>112</v>
      </c>
      <c r="N15">
        <f t="shared" si="4"/>
        <v>20.410333333333327</v>
      </c>
      <c r="O15" t="s">
        <v>112</v>
      </c>
      <c r="P15" s="2"/>
    </row>
    <row r="16" spans="1:17" x14ac:dyDescent="0.25">
      <c r="A16" t="s">
        <v>18</v>
      </c>
      <c r="B16" s="1">
        <v>15.68</v>
      </c>
      <c r="C16">
        <f t="shared" si="0"/>
        <v>0.17999999999999972</v>
      </c>
      <c r="D16" t="str">
        <f t="shared" si="1"/>
        <v>A3</v>
      </c>
      <c r="E16" t="s">
        <v>75</v>
      </c>
      <c r="F16" t="s">
        <v>76</v>
      </c>
      <c r="G16">
        <f t="shared" si="2"/>
        <v>15.876222222222223</v>
      </c>
      <c r="H16">
        <f t="shared" si="3"/>
        <v>1.2514172335600984</v>
      </c>
      <c r="J16" t="s">
        <v>92</v>
      </c>
      <c r="K16" s="1">
        <f t="shared" si="5"/>
        <v>20.093999999999994</v>
      </c>
      <c r="L16" s="1">
        <f t="shared" si="6"/>
        <v>20.726666666666659</v>
      </c>
      <c r="M16" t="s">
        <v>113</v>
      </c>
      <c r="N16">
        <f t="shared" si="4"/>
        <v>21.042999999999992</v>
      </c>
      <c r="O16" t="s">
        <v>113</v>
      </c>
      <c r="P16" s="2"/>
    </row>
    <row r="17" spans="1:17" x14ac:dyDescent="0.25">
      <c r="A17" t="s">
        <v>19</v>
      </c>
      <c r="B17" s="1">
        <v>15.5</v>
      </c>
      <c r="C17">
        <f t="shared" si="0"/>
        <v>0.3100000000000005</v>
      </c>
      <c r="D17" t="str">
        <f t="shared" si="1"/>
        <v>A2</v>
      </c>
      <c r="E17" t="s">
        <v>76</v>
      </c>
      <c r="F17" t="s">
        <v>75</v>
      </c>
      <c r="G17">
        <f t="shared" si="2"/>
        <v>15.349</v>
      </c>
      <c r="H17">
        <f t="shared" si="3"/>
        <v>0.9741935483870956</v>
      </c>
      <c r="J17" t="s">
        <v>93</v>
      </c>
      <c r="K17" s="1">
        <f t="shared" si="5"/>
        <v>20.726666666666659</v>
      </c>
      <c r="L17" s="1">
        <f t="shared" si="6"/>
        <v>21.359333333333325</v>
      </c>
      <c r="M17" t="s">
        <v>114</v>
      </c>
      <c r="N17">
        <f t="shared" si="4"/>
        <v>21.675666666666658</v>
      </c>
      <c r="O17" t="s">
        <v>114</v>
      </c>
      <c r="P17" s="2" t="s">
        <v>111</v>
      </c>
      <c r="Q17">
        <f>N14</f>
        <v>19.777666666666661</v>
      </c>
    </row>
    <row r="18" spans="1:17" x14ac:dyDescent="0.25">
      <c r="A18" t="s">
        <v>20</v>
      </c>
      <c r="B18" s="1">
        <v>15.19</v>
      </c>
      <c r="C18">
        <f t="shared" si="0"/>
        <v>0.36999999999999922</v>
      </c>
      <c r="D18" t="str">
        <f t="shared" si="1"/>
        <v>A2</v>
      </c>
      <c r="E18" t="s">
        <v>75</v>
      </c>
      <c r="F18" t="s">
        <v>75</v>
      </c>
      <c r="G18">
        <f t="shared" si="2"/>
        <v>15.876222222222223</v>
      </c>
      <c r="H18">
        <f t="shared" si="3"/>
        <v>4.5175919830297806</v>
      </c>
      <c r="J18" t="s">
        <v>94</v>
      </c>
      <c r="K18" s="1">
        <f t="shared" si="5"/>
        <v>21.359333333333325</v>
      </c>
      <c r="L18" s="1">
        <f t="shared" si="6"/>
        <v>21.99199999999999</v>
      </c>
      <c r="M18" t="s">
        <v>115</v>
      </c>
      <c r="N18">
        <f t="shared" si="4"/>
        <v>22.308333333333323</v>
      </c>
      <c r="O18" t="s">
        <v>115</v>
      </c>
      <c r="P18" s="2"/>
    </row>
    <row r="19" spans="1:17" x14ac:dyDescent="0.25">
      <c r="A19" t="s">
        <v>21</v>
      </c>
      <c r="B19" s="1">
        <v>14.82</v>
      </c>
      <c r="C19">
        <f t="shared" si="0"/>
        <v>0.15000000000000036</v>
      </c>
      <c r="D19" t="str">
        <f t="shared" si="1"/>
        <v>A1</v>
      </c>
      <c r="E19" t="s">
        <v>75</v>
      </c>
      <c r="F19" t="s">
        <v>74</v>
      </c>
      <c r="G19">
        <f t="shared" si="2"/>
        <v>15.876222222222223</v>
      </c>
      <c r="H19">
        <f t="shared" si="3"/>
        <v>7.1270055480581833</v>
      </c>
      <c r="J19" t="s">
        <v>95</v>
      </c>
      <c r="K19" s="1">
        <f t="shared" si="5"/>
        <v>21.99199999999999</v>
      </c>
      <c r="L19" s="1">
        <f t="shared" si="6"/>
        <v>22.624666666666656</v>
      </c>
      <c r="M19" t="s">
        <v>116</v>
      </c>
      <c r="N19">
        <f t="shared" si="4"/>
        <v>22.940999999999988</v>
      </c>
      <c r="O19" t="s">
        <v>116</v>
      </c>
      <c r="P19" s="2" t="s">
        <v>189</v>
      </c>
      <c r="Q19">
        <f>(N17+N19+N20+N21)/4</f>
        <v>23.099166666666655</v>
      </c>
    </row>
    <row r="20" spans="1:17" x14ac:dyDescent="0.25">
      <c r="A20" t="s">
        <v>22</v>
      </c>
      <c r="B20" s="1">
        <v>14.67</v>
      </c>
      <c r="C20">
        <f t="shared" si="0"/>
        <v>0.67999999999999972</v>
      </c>
      <c r="D20" t="str">
        <f t="shared" si="1"/>
        <v>A1</v>
      </c>
      <c r="E20" t="s">
        <v>74</v>
      </c>
      <c r="F20" t="s">
        <v>74</v>
      </c>
      <c r="G20">
        <f t="shared" si="2"/>
        <v>14.98747619047619</v>
      </c>
      <c r="H20">
        <f t="shared" si="3"/>
        <v>2.1641185444866426</v>
      </c>
      <c r="J20" t="s">
        <v>96</v>
      </c>
      <c r="K20" s="1">
        <f t="shared" si="5"/>
        <v>22.624666666666656</v>
      </c>
      <c r="L20" s="1">
        <f t="shared" si="6"/>
        <v>23.257333333333321</v>
      </c>
      <c r="M20" t="s">
        <v>117</v>
      </c>
      <c r="N20">
        <f t="shared" si="4"/>
        <v>23.573666666666654</v>
      </c>
      <c r="O20" t="s">
        <v>117</v>
      </c>
      <c r="P20" s="2" t="s">
        <v>119</v>
      </c>
      <c r="Q20">
        <f>N22</f>
        <v>24.838999999999984</v>
      </c>
    </row>
    <row r="21" spans="1:17" x14ac:dyDescent="0.25">
      <c r="A21" t="s">
        <v>23</v>
      </c>
      <c r="B21" s="1">
        <v>15.35</v>
      </c>
      <c r="C21">
        <f t="shared" si="0"/>
        <v>1.3400000000000016</v>
      </c>
      <c r="D21" t="str">
        <f t="shared" si="1"/>
        <v>A2</v>
      </c>
      <c r="E21" t="s">
        <v>74</v>
      </c>
      <c r="F21" t="s">
        <v>75</v>
      </c>
      <c r="G21">
        <f t="shared" si="2"/>
        <v>14.98747619047619</v>
      </c>
      <c r="H21">
        <f t="shared" si="3"/>
        <v>2.3617186288196041</v>
      </c>
      <c r="J21" t="s">
        <v>97</v>
      </c>
      <c r="K21" s="1">
        <f t="shared" si="5"/>
        <v>23.257333333333321</v>
      </c>
      <c r="L21" s="1">
        <f t="shared" si="6"/>
        <v>23.889999999999986</v>
      </c>
      <c r="M21" t="s">
        <v>118</v>
      </c>
      <c r="N21">
        <f t="shared" si="4"/>
        <v>24.206333333333319</v>
      </c>
      <c r="O21" t="s">
        <v>118</v>
      </c>
      <c r="P21" s="2" t="s">
        <v>190</v>
      </c>
      <c r="Q21">
        <f>(2*N19+2*N21+N24)/5</f>
        <v>24.079799999999985</v>
      </c>
    </row>
    <row r="22" spans="1:17" x14ac:dyDescent="0.25">
      <c r="A22" t="s">
        <v>24</v>
      </c>
      <c r="B22" s="1">
        <v>16.690000000000001</v>
      </c>
      <c r="C22">
        <f t="shared" si="0"/>
        <v>1.3299999999999983</v>
      </c>
      <c r="D22" t="str">
        <f t="shared" si="1"/>
        <v>A4</v>
      </c>
      <c r="E22" t="s">
        <v>75</v>
      </c>
      <c r="F22" t="s">
        <v>77</v>
      </c>
      <c r="G22">
        <f t="shared" si="2"/>
        <v>15.876222222222223</v>
      </c>
      <c r="H22">
        <f t="shared" si="3"/>
        <v>4.8758404899806953</v>
      </c>
      <c r="J22" t="s">
        <v>98</v>
      </c>
      <c r="K22" s="1">
        <f t="shared" si="5"/>
        <v>23.889999999999986</v>
      </c>
      <c r="L22" s="1">
        <f t="shared" si="6"/>
        <v>24.522666666666652</v>
      </c>
      <c r="M22" t="s">
        <v>119</v>
      </c>
      <c r="N22">
        <f t="shared" si="4"/>
        <v>24.838999999999984</v>
      </c>
      <c r="O22" t="s">
        <v>119</v>
      </c>
      <c r="P22" s="2" t="s">
        <v>191</v>
      </c>
      <c r="Q22">
        <f>(N19+N21+N22+N26)/4</f>
        <v>24.830749999999988</v>
      </c>
    </row>
    <row r="23" spans="1:17" x14ac:dyDescent="0.25">
      <c r="A23" t="s">
        <v>25</v>
      </c>
      <c r="B23" s="1">
        <v>18.02</v>
      </c>
      <c r="C23">
        <f t="shared" si="0"/>
        <v>0.33999999999999986</v>
      </c>
      <c r="D23" t="str">
        <f t="shared" si="1"/>
        <v>A6</v>
      </c>
      <c r="E23" t="s">
        <v>77</v>
      </c>
      <c r="F23" t="s">
        <v>79</v>
      </c>
      <c r="G23">
        <f t="shared" si="2"/>
        <v>16.343190476190479</v>
      </c>
      <c r="H23">
        <f t="shared" si="3"/>
        <v>9.3052692775223136</v>
      </c>
      <c r="J23" t="s">
        <v>99</v>
      </c>
      <c r="K23" s="1">
        <f t="shared" si="5"/>
        <v>24.522666666666652</v>
      </c>
      <c r="L23" s="1">
        <f t="shared" si="6"/>
        <v>25.155333333333317</v>
      </c>
      <c r="M23" t="s">
        <v>120</v>
      </c>
      <c r="N23">
        <f t="shared" si="4"/>
        <v>25.47166666666665</v>
      </c>
      <c r="O23" t="s">
        <v>120</v>
      </c>
      <c r="P23" s="2" t="s">
        <v>122</v>
      </c>
      <c r="Q23">
        <f>N25</f>
        <v>26.736999999999981</v>
      </c>
    </row>
    <row r="24" spans="1:17" x14ac:dyDescent="0.25">
      <c r="A24" t="s">
        <v>26</v>
      </c>
      <c r="B24" s="1">
        <v>17.68</v>
      </c>
      <c r="C24">
        <f t="shared" si="0"/>
        <v>0.19000000000000128</v>
      </c>
      <c r="D24" t="str">
        <f t="shared" si="1"/>
        <v>A6</v>
      </c>
      <c r="E24" t="s">
        <v>79</v>
      </c>
      <c r="F24" t="s">
        <v>79</v>
      </c>
      <c r="G24">
        <f t="shared" si="2"/>
        <v>17.6266</v>
      </c>
      <c r="H24">
        <f t="shared" si="3"/>
        <v>0.30203619909502205</v>
      </c>
      <c r="J24" t="s">
        <v>100</v>
      </c>
      <c r="K24" s="1">
        <f t="shared" si="5"/>
        <v>25.155333333333317</v>
      </c>
      <c r="L24" s="1">
        <f t="shared" si="6"/>
        <v>25.787999999999982</v>
      </c>
      <c r="M24" t="s">
        <v>121</v>
      </c>
      <c r="N24">
        <f t="shared" si="4"/>
        <v>26.104333333333315</v>
      </c>
      <c r="O24" t="s">
        <v>121</v>
      </c>
      <c r="P24" s="2" t="s">
        <v>192</v>
      </c>
      <c r="Q24">
        <f>(N22+N25)/2</f>
        <v>25.787999999999982</v>
      </c>
    </row>
    <row r="25" spans="1:17" x14ac:dyDescent="0.25">
      <c r="A25" t="s">
        <v>27</v>
      </c>
      <c r="B25" s="1">
        <v>17.489999999999998</v>
      </c>
      <c r="C25">
        <f t="shared" si="0"/>
        <v>0.54999999999999716</v>
      </c>
      <c r="D25" t="str">
        <f t="shared" si="1"/>
        <v>A5</v>
      </c>
      <c r="E25" t="s">
        <v>79</v>
      </c>
      <c r="F25" t="s">
        <v>78</v>
      </c>
      <c r="G25">
        <f t="shared" si="2"/>
        <v>17.6266</v>
      </c>
      <c r="H25">
        <f t="shared" si="3"/>
        <v>0.78101772441395889</v>
      </c>
      <c r="J25" t="s">
        <v>101</v>
      </c>
      <c r="K25" s="1">
        <f t="shared" si="5"/>
        <v>25.787999999999982</v>
      </c>
      <c r="L25" s="1">
        <f t="shared" si="6"/>
        <v>26.420666666666648</v>
      </c>
      <c r="M25" t="s">
        <v>122</v>
      </c>
      <c r="N25">
        <f t="shared" si="4"/>
        <v>26.736999999999981</v>
      </c>
      <c r="O25" t="s">
        <v>122</v>
      </c>
      <c r="P25" s="2" t="s">
        <v>193</v>
      </c>
      <c r="Q25">
        <f>(N23+N25+N26)/3</f>
        <v>26.515111111111096</v>
      </c>
    </row>
    <row r="26" spans="1:17" x14ac:dyDescent="0.25">
      <c r="A26" t="s">
        <v>28</v>
      </c>
      <c r="B26" s="1">
        <v>16.940000000000001</v>
      </c>
      <c r="C26">
        <f t="shared" si="0"/>
        <v>0.96999999999999886</v>
      </c>
      <c r="D26" t="str">
        <f t="shared" si="1"/>
        <v>A5</v>
      </c>
      <c r="E26" t="s">
        <v>78</v>
      </c>
      <c r="F26" t="s">
        <v>78</v>
      </c>
      <c r="G26">
        <f t="shared" si="2"/>
        <v>17.247</v>
      </c>
      <c r="H26">
        <f t="shared" si="3"/>
        <v>1.8122786304604404</v>
      </c>
      <c r="J26" t="s">
        <v>102</v>
      </c>
      <c r="K26" s="1">
        <f t="shared" si="5"/>
        <v>26.420666666666648</v>
      </c>
      <c r="L26" s="1">
        <f t="shared" si="6"/>
        <v>27.053333333333313</v>
      </c>
      <c r="M26" t="s">
        <v>123</v>
      </c>
      <c r="N26">
        <f t="shared" si="4"/>
        <v>27.336666666666659</v>
      </c>
      <c r="O26" t="s">
        <v>123</v>
      </c>
      <c r="P26" s="2" t="s">
        <v>194</v>
      </c>
      <c r="Q26">
        <f>(N21+N24)/2</f>
        <v>25.155333333333317</v>
      </c>
    </row>
    <row r="27" spans="1:17" x14ac:dyDescent="0.25">
      <c r="A27" t="s">
        <v>29</v>
      </c>
      <c r="B27" s="1">
        <v>17.91</v>
      </c>
      <c r="C27">
        <f t="shared" si="0"/>
        <v>0.10000000000000142</v>
      </c>
      <c r="D27" t="str">
        <f t="shared" si="1"/>
        <v>A6</v>
      </c>
      <c r="E27" t="s">
        <v>78</v>
      </c>
      <c r="F27" t="s">
        <v>79</v>
      </c>
      <c r="G27">
        <f t="shared" si="2"/>
        <v>17.247</v>
      </c>
      <c r="H27">
        <f t="shared" si="3"/>
        <v>3.701842546063653</v>
      </c>
      <c r="J27" t="s">
        <v>103</v>
      </c>
      <c r="K27" s="1">
        <f t="shared" si="5"/>
        <v>27.053333333333313</v>
      </c>
      <c r="L27" s="1">
        <f>K2</f>
        <v>27.62</v>
      </c>
    </row>
    <row r="28" spans="1:17" x14ac:dyDescent="0.25">
      <c r="A28" t="s">
        <v>30</v>
      </c>
      <c r="B28" s="1">
        <v>17.809999999999999</v>
      </c>
      <c r="C28">
        <f t="shared" si="0"/>
        <v>1.3299999999999983</v>
      </c>
      <c r="D28" t="str">
        <f t="shared" si="1"/>
        <v>A6</v>
      </c>
      <c r="E28" t="s">
        <v>79</v>
      </c>
      <c r="F28" t="s">
        <v>79</v>
      </c>
      <c r="G28">
        <f t="shared" si="2"/>
        <v>17.6266</v>
      </c>
      <c r="H28">
        <f t="shared" si="3"/>
        <v>1.0297585626052719</v>
      </c>
    </row>
    <row r="29" spans="1:17" x14ac:dyDescent="0.25">
      <c r="A29" t="s">
        <v>31</v>
      </c>
      <c r="B29" s="1">
        <v>16.48</v>
      </c>
      <c r="C29">
        <f t="shared" si="0"/>
        <v>2.08</v>
      </c>
      <c r="D29" t="str">
        <f t="shared" si="1"/>
        <v>A4</v>
      </c>
      <c r="E29" t="s">
        <v>79</v>
      </c>
      <c r="F29" t="s">
        <v>77</v>
      </c>
      <c r="G29">
        <f t="shared" si="2"/>
        <v>17.6266</v>
      </c>
      <c r="H29">
        <f t="shared" si="3"/>
        <v>6.9575242718446564</v>
      </c>
    </row>
    <row r="30" spans="1:17" x14ac:dyDescent="0.25">
      <c r="A30" t="s">
        <v>32</v>
      </c>
      <c r="B30" s="1">
        <v>14.4</v>
      </c>
      <c r="C30">
        <f t="shared" si="0"/>
        <v>1.0199999999999996</v>
      </c>
      <c r="D30" t="str">
        <f t="shared" si="1"/>
        <v>A1</v>
      </c>
      <c r="E30" t="s">
        <v>77</v>
      </c>
      <c r="F30" t="s">
        <v>74</v>
      </c>
      <c r="G30">
        <f t="shared" si="2"/>
        <v>16.343190476190479</v>
      </c>
      <c r="H30">
        <f t="shared" si="3"/>
        <v>13.494378306878325</v>
      </c>
    </row>
    <row r="31" spans="1:17" x14ac:dyDescent="0.25">
      <c r="A31" t="s">
        <v>33</v>
      </c>
      <c r="B31" s="1">
        <v>15.42</v>
      </c>
      <c r="C31">
        <f t="shared" si="0"/>
        <v>2.1399999999999988</v>
      </c>
      <c r="D31" t="str">
        <f t="shared" si="1"/>
        <v>A2</v>
      </c>
      <c r="E31" t="s">
        <v>74</v>
      </c>
      <c r="F31" t="s">
        <v>75</v>
      </c>
      <c r="G31">
        <f t="shared" si="2"/>
        <v>14.98747619047619</v>
      </c>
      <c r="H31">
        <f t="shared" si="3"/>
        <v>2.804953369155704</v>
      </c>
    </row>
    <row r="32" spans="1:17" x14ac:dyDescent="0.25">
      <c r="A32" t="s">
        <v>34</v>
      </c>
      <c r="B32" s="1">
        <v>17.559999999999999</v>
      </c>
      <c r="C32">
        <f t="shared" si="0"/>
        <v>0.78000000000000114</v>
      </c>
      <c r="D32" t="str">
        <f t="shared" si="1"/>
        <v>A5</v>
      </c>
      <c r="E32" t="s">
        <v>75</v>
      </c>
      <c r="F32" t="s">
        <v>79</v>
      </c>
      <c r="G32">
        <f t="shared" si="2"/>
        <v>15.876222222222223</v>
      </c>
      <c r="H32">
        <f t="shared" si="3"/>
        <v>9.5887117185522541</v>
      </c>
    </row>
    <row r="33" spans="1:8" x14ac:dyDescent="0.25">
      <c r="A33" t="s">
        <v>35</v>
      </c>
      <c r="B33" s="1">
        <v>18.34</v>
      </c>
      <c r="C33">
        <f t="shared" si="0"/>
        <v>6.7399999999999984</v>
      </c>
      <c r="D33" t="str">
        <f t="shared" si="1"/>
        <v>A7</v>
      </c>
      <c r="E33" t="s">
        <v>79</v>
      </c>
      <c r="F33" t="s">
        <v>80</v>
      </c>
      <c r="G33">
        <f t="shared" si="2"/>
        <v>17.6266</v>
      </c>
      <c r="H33">
        <f t="shared" si="3"/>
        <v>3.8898582333696843</v>
      </c>
    </row>
    <row r="34" spans="1:8" x14ac:dyDescent="0.25">
      <c r="A34" t="s">
        <v>36</v>
      </c>
      <c r="B34" s="1">
        <v>25.08</v>
      </c>
      <c r="C34">
        <f t="shared" si="0"/>
        <v>1.9700000000000024</v>
      </c>
      <c r="D34" t="str">
        <f t="shared" si="1"/>
        <v>A17</v>
      </c>
      <c r="E34" t="s">
        <v>80</v>
      </c>
      <c r="F34" t="s">
        <v>119</v>
      </c>
      <c r="G34">
        <f t="shared" si="2"/>
        <v>21.99199999999999</v>
      </c>
      <c r="H34">
        <f t="shared" si="3"/>
        <v>12.312599681020767</v>
      </c>
    </row>
    <row r="35" spans="1:8" x14ac:dyDescent="0.25">
      <c r="A35" t="s">
        <v>37</v>
      </c>
      <c r="B35" s="1">
        <v>27.05</v>
      </c>
      <c r="C35">
        <f t="shared" si="0"/>
        <v>3.0300000000000011</v>
      </c>
      <c r="D35" t="str">
        <f t="shared" si="1"/>
        <v>A20</v>
      </c>
      <c r="E35" t="s">
        <v>119</v>
      </c>
      <c r="F35" t="s">
        <v>123</v>
      </c>
      <c r="G35">
        <f t="shared" si="2"/>
        <v>24.830749999999988</v>
      </c>
      <c r="H35">
        <f t="shared" si="3"/>
        <v>8.2042513863216744</v>
      </c>
    </row>
    <row r="36" spans="1:8" x14ac:dyDescent="0.25">
      <c r="A36" t="s">
        <v>38</v>
      </c>
      <c r="B36" s="1">
        <v>24.02</v>
      </c>
      <c r="C36">
        <f t="shared" si="0"/>
        <v>0.33999999999999986</v>
      </c>
      <c r="D36" t="str">
        <f t="shared" si="1"/>
        <v>A16</v>
      </c>
      <c r="E36" t="s">
        <v>123</v>
      </c>
      <c r="F36" t="s">
        <v>118</v>
      </c>
      <c r="G36">
        <f t="shared" si="2"/>
        <v>25.155333333333317</v>
      </c>
      <c r="H36">
        <f t="shared" si="3"/>
        <v>4.7266167082985744</v>
      </c>
    </row>
    <row r="37" spans="1:8" x14ac:dyDescent="0.25">
      <c r="A37" t="s">
        <v>39</v>
      </c>
      <c r="B37" s="1">
        <v>24.36</v>
      </c>
      <c r="C37">
        <f t="shared" si="0"/>
        <v>0.35999999999999943</v>
      </c>
      <c r="D37" t="str">
        <f t="shared" si="1"/>
        <v>A16</v>
      </c>
      <c r="E37" t="s">
        <v>118</v>
      </c>
      <c r="F37" t="s">
        <v>118</v>
      </c>
      <c r="G37">
        <f t="shared" si="2"/>
        <v>24.079799999999985</v>
      </c>
      <c r="H37">
        <f t="shared" si="3"/>
        <v>1.1502463054187804</v>
      </c>
    </row>
    <row r="38" spans="1:8" x14ac:dyDescent="0.25">
      <c r="A38" t="s">
        <v>40</v>
      </c>
      <c r="B38" s="1">
        <v>24</v>
      </c>
      <c r="C38">
        <f t="shared" si="0"/>
        <v>2.0300000000000011</v>
      </c>
      <c r="D38" t="str">
        <f t="shared" si="1"/>
        <v>A16</v>
      </c>
      <c r="E38" t="s">
        <v>118</v>
      </c>
      <c r="F38" t="s">
        <v>118</v>
      </c>
      <c r="G38">
        <f t="shared" si="2"/>
        <v>24.079799999999985</v>
      </c>
      <c r="H38">
        <f t="shared" si="3"/>
        <v>0.33249999999993562</v>
      </c>
    </row>
    <row r="39" spans="1:8" x14ac:dyDescent="0.25">
      <c r="A39" t="s">
        <v>41</v>
      </c>
      <c r="B39" s="1">
        <v>26.03</v>
      </c>
      <c r="C39">
        <f t="shared" si="0"/>
        <v>0.68999999999999773</v>
      </c>
      <c r="D39" t="str">
        <f t="shared" si="1"/>
        <v>A19</v>
      </c>
      <c r="E39" t="s">
        <v>118</v>
      </c>
      <c r="F39" t="s">
        <v>121</v>
      </c>
      <c r="G39">
        <f t="shared" si="2"/>
        <v>24.079799999999985</v>
      </c>
      <c r="H39">
        <f t="shared" si="3"/>
        <v>7.4921244717634128</v>
      </c>
    </row>
    <row r="40" spans="1:8" x14ac:dyDescent="0.25">
      <c r="A40" t="s">
        <v>42</v>
      </c>
      <c r="B40" s="1">
        <v>26.72</v>
      </c>
      <c r="C40">
        <f t="shared" si="0"/>
        <v>0.34999999999999787</v>
      </c>
      <c r="D40" t="str">
        <f t="shared" si="1"/>
        <v>A20</v>
      </c>
      <c r="E40" t="s">
        <v>121</v>
      </c>
      <c r="F40" t="s">
        <v>122</v>
      </c>
      <c r="G40">
        <f t="shared" si="2"/>
        <v>25.787999999999982</v>
      </c>
      <c r="H40">
        <f t="shared" si="3"/>
        <v>3.4880239520958698</v>
      </c>
    </row>
    <row r="41" spans="1:8" x14ac:dyDescent="0.25">
      <c r="A41" t="s">
        <v>43</v>
      </c>
      <c r="B41" s="1">
        <v>26.37</v>
      </c>
      <c r="C41">
        <f t="shared" si="0"/>
        <v>1.2300000000000004</v>
      </c>
      <c r="D41" t="str">
        <f t="shared" si="1"/>
        <v>A19</v>
      </c>
      <c r="E41" t="s">
        <v>122</v>
      </c>
      <c r="F41" t="s">
        <v>122</v>
      </c>
      <c r="G41">
        <f t="shared" si="2"/>
        <v>26.515111111111096</v>
      </c>
      <c r="H41">
        <f t="shared" si="3"/>
        <v>0.55028862764920528</v>
      </c>
    </row>
    <row r="42" spans="1:8" x14ac:dyDescent="0.25">
      <c r="A42" t="s">
        <v>44</v>
      </c>
      <c r="B42" s="1">
        <v>25.14</v>
      </c>
      <c r="C42">
        <f t="shared" si="0"/>
        <v>1.6400000000000006</v>
      </c>
      <c r="D42" t="str">
        <f t="shared" si="1"/>
        <v>A17</v>
      </c>
      <c r="E42" t="s">
        <v>122</v>
      </c>
      <c r="F42" t="s">
        <v>120</v>
      </c>
      <c r="G42">
        <f t="shared" si="2"/>
        <v>26.515111111111096</v>
      </c>
      <c r="H42">
        <f t="shared" si="3"/>
        <v>5.4698134889065066</v>
      </c>
    </row>
    <row r="43" spans="1:8" x14ac:dyDescent="0.25">
      <c r="A43" t="s">
        <v>45</v>
      </c>
      <c r="B43" s="1">
        <v>26.78</v>
      </c>
      <c r="C43">
        <f t="shared" si="0"/>
        <v>0.83999999999999986</v>
      </c>
      <c r="D43" t="str">
        <f t="shared" si="1"/>
        <v>A20</v>
      </c>
      <c r="E43" t="s">
        <v>120</v>
      </c>
      <c r="F43" t="s">
        <v>122</v>
      </c>
      <c r="G43">
        <f t="shared" si="2"/>
        <v>26.736999999999981</v>
      </c>
      <c r="H43">
        <f t="shared" si="3"/>
        <v>0.16056758775213059</v>
      </c>
    </row>
    <row r="44" spans="1:8" x14ac:dyDescent="0.25">
      <c r="A44" t="s">
        <v>46</v>
      </c>
      <c r="B44" s="1">
        <v>27.62</v>
      </c>
      <c r="C44">
        <f t="shared" si="0"/>
        <v>1.5400000000000027</v>
      </c>
      <c r="D44" t="s">
        <v>123</v>
      </c>
      <c r="E44" t="s">
        <v>122</v>
      </c>
      <c r="F44" t="s">
        <v>123</v>
      </c>
      <c r="G44">
        <f t="shared" si="2"/>
        <v>26.515111111111096</v>
      </c>
      <c r="H44">
        <f t="shared" si="3"/>
        <v>4.000321827983</v>
      </c>
    </row>
    <row r="45" spans="1:8" x14ac:dyDescent="0.25">
      <c r="A45" t="s">
        <v>47</v>
      </c>
      <c r="B45" s="1">
        <v>26.08</v>
      </c>
      <c r="C45">
        <f t="shared" si="0"/>
        <v>1.4899999999999984</v>
      </c>
      <c r="D45" t="str">
        <f t="shared" si="1"/>
        <v>A19</v>
      </c>
      <c r="E45" t="s">
        <v>123</v>
      </c>
      <c r="F45" t="s">
        <v>121</v>
      </c>
      <c r="G45">
        <f t="shared" si="2"/>
        <v>25.155333333333317</v>
      </c>
      <c r="H45">
        <f t="shared" si="3"/>
        <v>3.5455010224949435</v>
      </c>
    </row>
    <row r="46" spans="1:8" x14ac:dyDescent="0.25">
      <c r="A46" t="s">
        <v>48</v>
      </c>
      <c r="B46" s="1">
        <v>24.59</v>
      </c>
      <c r="C46">
        <f t="shared" si="0"/>
        <v>0.76000000000000156</v>
      </c>
      <c r="D46" t="str">
        <f t="shared" si="1"/>
        <v>A17</v>
      </c>
      <c r="E46" t="s">
        <v>121</v>
      </c>
      <c r="F46" t="s">
        <v>119</v>
      </c>
      <c r="G46">
        <f t="shared" si="2"/>
        <v>25.787999999999982</v>
      </c>
      <c r="H46">
        <f t="shared" si="3"/>
        <v>4.8718991459942362</v>
      </c>
    </row>
    <row r="47" spans="1:8" x14ac:dyDescent="0.25">
      <c r="A47" t="s">
        <v>49</v>
      </c>
      <c r="B47" s="1">
        <v>23.83</v>
      </c>
      <c r="C47">
        <f t="shared" si="0"/>
        <v>1.1499999999999986</v>
      </c>
      <c r="D47" t="str">
        <f t="shared" si="1"/>
        <v>A15</v>
      </c>
      <c r="E47" t="s">
        <v>119</v>
      </c>
      <c r="F47" t="s">
        <v>118</v>
      </c>
      <c r="G47">
        <f t="shared" si="2"/>
        <v>24.830749999999988</v>
      </c>
      <c r="H47">
        <f t="shared" si="3"/>
        <v>4.1995383969785545</v>
      </c>
    </row>
    <row r="48" spans="1:8" x14ac:dyDescent="0.25">
      <c r="A48" t="s">
        <v>50</v>
      </c>
      <c r="B48" s="1">
        <v>22.68</v>
      </c>
      <c r="C48">
        <f t="shared" si="0"/>
        <v>1.6700000000000017</v>
      </c>
      <c r="D48" t="str">
        <f t="shared" si="1"/>
        <v>A14</v>
      </c>
      <c r="E48" t="s">
        <v>118</v>
      </c>
      <c r="F48" t="s">
        <v>116</v>
      </c>
      <c r="G48">
        <f t="shared" si="2"/>
        <v>24.079799999999985</v>
      </c>
      <c r="H48">
        <f t="shared" si="3"/>
        <v>6.171957671957605</v>
      </c>
    </row>
    <row r="49" spans="1:8" x14ac:dyDescent="0.25">
      <c r="A49" t="s">
        <v>51</v>
      </c>
      <c r="B49" s="1">
        <v>24.35</v>
      </c>
      <c r="C49">
        <f t="shared" si="0"/>
        <v>1.5800000000000018</v>
      </c>
      <c r="D49" t="str">
        <f t="shared" si="1"/>
        <v>A16</v>
      </c>
      <c r="E49" t="s">
        <v>116</v>
      </c>
      <c r="F49" t="s">
        <v>118</v>
      </c>
      <c r="G49">
        <f t="shared" si="2"/>
        <v>23.099166666666655</v>
      </c>
      <c r="H49">
        <f t="shared" si="3"/>
        <v>5.1368925393566602</v>
      </c>
    </row>
    <row r="50" spans="1:8" x14ac:dyDescent="0.25">
      <c r="A50" t="s">
        <v>52</v>
      </c>
      <c r="B50" s="1">
        <v>22.77</v>
      </c>
      <c r="C50">
        <f t="shared" si="0"/>
        <v>3.9999999999999147E-2</v>
      </c>
      <c r="D50" t="str">
        <f t="shared" si="1"/>
        <v>A14</v>
      </c>
      <c r="E50" t="s">
        <v>118</v>
      </c>
      <c r="F50" t="s">
        <v>116</v>
      </c>
      <c r="G50">
        <f t="shared" si="2"/>
        <v>24.079799999999985</v>
      </c>
      <c r="H50">
        <f t="shared" si="3"/>
        <v>5.7523056653490778</v>
      </c>
    </row>
    <row r="51" spans="1:8" x14ac:dyDescent="0.25">
      <c r="A51" t="s">
        <v>53</v>
      </c>
      <c r="B51" s="1">
        <v>22.81</v>
      </c>
      <c r="C51">
        <f t="shared" si="0"/>
        <v>0.46000000000000085</v>
      </c>
      <c r="D51" t="str">
        <f t="shared" si="1"/>
        <v>A14</v>
      </c>
      <c r="E51" t="s">
        <v>116</v>
      </c>
      <c r="F51" t="s">
        <v>116</v>
      </c>
      <c r="G51">
        <f t="shared" si="2"/>
        <v>23.099166666666655</v>
      </c>
      <c r="H51">
        <f t="shared" si="3"/>
        <v>1.2677188367674526</v>
      </c>
    </row>
    <row r="52" spans="1:8" x14ac:dyDescent="0.25">
      <c r="A52" t="s">
        <v>54</v>
      </c>
      <c r="B52" s="1">
        <v>23.27</v>
      </c>
      <c r="C52">
        <f t="shared" si="0"/>
        <v>1.7800000000000011</v>
      </c>
      <c r="D52" t="str">
        <f t="shared" si="1"/>
        <v>A15</v>
      </c>
      <c r="E52" t="s">
        <v>116</v>
      </c>
      <c r="F52" t="s">
        <v>117</v>
      </c>
      <c r="G52">
        <f t="shared" si="2"/>
        <v>23.099166666666655</v>
      </c>
      <c r="H52">
        <f t="shared" si="3"/>
        <v>0.73413551067187344</v>
      </c>
    </row>
    <row r="53" spans="1:8" x14ac:dyDescent="0.25">
      <c r="A53" t="s">
        <v>55</v>
      </c>
      <c r="B53" s="1">
        <v>25.05</v>
      </c>
      <c r="C53">
        <f t="shared" si="0"/>
        <v>6.0000000000002274E-2</v>
      </c>
      <c r="D53" t="str">
        <f t="shared" si="1"/>
        <v>A17</v>
      </c>
      <c r="E53" t="s">
        <v>117</v>
      </c>
      <c r="F53" t="s">
        <v>119</v>
      </c>
      <c r="G53">
        <f t="shared" si="2"/>
        <v>24.838999999999984</v>
      </c>
      <c r="H53">
        <f t="shared" si="3"/>
        <v>0.84231536926154205</v>
      </c>
    </row>
    <row r="54" spans="1:8" x14ac:dyDescent="0.25">
      <c r="A54" t="s">
        <v>56</v>
      </c>
      <c r="B54" s="1">
        <v>24.99</v>
      </c>
      <c r="C54">
        <f t="shared" si="0"/>
        <v>2.3299999999999983</v>
      </c>
      <c r="D54" t="str">
        <f t="shared" si="1"/>
        <v>A17</v>
      </c>
      <c r="E54" t="s">
        <v>119</v>
      </c>
      <c r="F54" t="s">
        <v>119</v>
      </c>
      <c r="G54">
        <f t="shared" si="2"/>
        <v>24.830749999999988</v>
      </c>
      <c r="H54">
        <f t="shared" si="3"/>
        <v>0.63725490196082746</v>
      </c>
    </row>
    <row r="55" spans="1:8" x14ac:dyDescent="0.25">
      <c r="A55" t="s">
        <v>57</v>
      </c>
      <c r="B55" s="1">
        <v>22.66</v>
      </c>
      <c r="C55">
        <f t="shared" si="0"/>
        <v>0.83000000000000185</v>
      </c>
      <c r="D55" t="str">
        <f t="shared" si="1"/>
        <v>A14</v>
      </c>
      <c r="E55" t="s">
        <v>119</v>
      </c>
      <c r="F55" t="s">
        <v>116</v>
      </c>
      <c r="G55">
        <f t="shared" si="2"/>
        <v>24.830749999999988</v>
      </c>
      <c r="H55">
        <f t="shared" si="3"/>
        <v>9.5796557811120362</v>
      </c>
    </row>
    <row r="56" spans="1:8" x14ac:dyDescent="0.25">
      <c r="A56" t="s">
        <v>58</v>
      </c>
      <c r="B56" s="1">
        <v>21.83</v>
      </c>
      <c r="C56">
        <f t="shared" si="0"/>
        <v>1.8199999999999967</v>
      </c>
      <c r="D56" t="str">
        <f t="shared" si="1"/>
        <v>A12</v>
      </c>
      <c r="E56" t="s">
        <v>116</v>
      </c>
      <c r="F56" t="s">
        <v>114</v>
      </c>
      <c r="G56">
        <f t="shared" si="2"/>
        <v>23.099166666666655</v>
      </c>
      <c r="H56">
        <f t="shared" si="3"/>
        <v>5.8138647121697504</v>
      </c>
    </row>
    <row r="57" spans="1:8" x14ac:dyDescent="0.25">
      <c r="A57" t="s">
        <v>59</v>
      </c>
      <c r="B57" s="1">
        <v>20.010000000000002</v>
      </c>
      <c r="C57">
        <f t="shared" si="0"/>
        <v>0.28000000000000114</v>
      </c>
      <c r="D57" t="str">
        <f t="shared" si="1"/>
        <v>A9</v>
      </c>
      <c r="E57" t="s">
        <v>114</v>
      </c>
      <c r="F57" t="s">
        <v>111</v>
      </c>
      <c r="G57">
        <f t="shared" si="2"/>
        <v>19.777666666666661</v>
      </c>
      <c r="H57">
        <f t="shared" si="3"/>
        <v>1.1610861236048982</v>
      </c>
    </row>
    <row r="58" spans="1:8" x14ac:dyDescent="0.25">
      <c r="A58" t="s">
        <v>60</v>
      </c>
      <c r="B58" s="1">
        <v>19.73</v>
      </c>
      <c r="C58">
        <f t="shared" si="0"/>
        <v>0.94000000000000128</v>
      </c>
      <c r="D58" t="str">
        <f t="shared" si="1"/>
        <v>A9</v>
      </c>
      <c r="E58" t="s">
        <v>111</v>
      </c>
      <c r="F58" t="s">
        <v>111</v>
      </c>
      <c r="G58">
        <f t="shared" si="2"/>
        <v>19.144999999999996</v>
      </c>
      <c r="H58">
        <f t="shared" si="3"/>
        <v>2.9650278763304834</v>
      </c>
    </row>
    <row r="59" spans="1:8" x14ac:dyDescent="0.25">
      <c r="A59" t="s">
        <v>61</v>
      </c>
      <c r="B59" s="1">
        <v>18.79</v>
      </c>
      <c r="C59">
        <f t="shared" si="0"/>
        <v>0.51000000000000156</v>
      </c>
      <c r="D59" t="str">
        <f t="shared" si="1"/>
        <v>A7</v>
      </c>
      <c r="E59" t="s">
        <v>111</v>
      </c>
      <c r="F59" t="s">
        <v>80</v>
      </c>
      <c r="G59">
        <f t="shared" si="2"/>
        <v>19.144999999999996</v>
      </c>
      <c r="H59">
        <f t="shared" si="3"/>
        <v>1.8893028206492648</v>
      </c>
    </row>
    <row r="60" spans="1:8" x14ac:dyDescent="0.25">
      <c r="A60" t="s">
        <v>62</v>
      </c>
      <c r="B60" s="1">
        <v>19.3</v>
      </c>
      <c r="C60">
        <f t="shared" si="0"/>
        <v>0.89000000000000057</v>
      </c>
      <c r="D60" t="str">
        <f t="shared" si="1"/>
        <v>A8</v>
      </c>
      <c r="E60" t="s">
        <v>80</v>
      </c>
      <c r="F60" t="s">
        <v>110</v>
      </c>
      <c r="G60">
        <f t="shared" si="2"/>
        <v>21.99199999999999</v>
      </c>
      <c r="H60">
        <f t="shared" si="3"/>
        <v>13.948186528497356</v>
      </c>
    </row>
    <row r="61" spans="1:8" x14ac:dyDescent="0.25">
      <c r="A61" s="3">
        <v>44917</v>
      </c>
      <c r="B61" s="1">
        <v>20.190000000000001</v>
      </c>
      <c r="C61">
        <f t="shared" si="0"/>
        <v>20.190000000000001</v>
      </c>
      <c r="D61" t="str">
        <f t="shared" si="1"/>
        <v>A10</v>
      </c>
      <c r="E61" t="s">
        <v>110</v>
      </c>
      <c r="F61" t="s">
        <v>112</v>
      </c>
      <c r="G61">
        <f t="shared" si="2"/>
        <v>19.461333333333329</v>
      </c>
      <c r="H61">
        <f t="shared" si="3"/>
        <v>3.6090473831930288</v>
      </c>
    </row>
    <row r="62" spans="1:8" x14ac:dyDescent="0.25">
      <c r="E62" t="s">
        <v>112</v>
      </c>
      <c r="H62">
        <f>AVERAGE(H3:H61)</f>
        <v>4.0085277174303764</v>
      </c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6A124-D3AA-4859-9CB3-D32008F93AC0}">
  <dimension ref="A1:X41"/>
  <sheetViews>
    <sheetView workbookViewId="0">
      <selection activeCell="P29" sqref="P29"/>
    </sheetView>
  </sheetViews>
  <sheetFormatPr defaultRowHeight="15" x14ac:dyDescent="0.25"/>
  <cols>
    <col min="2" max="2" width="20.7109375" customWidth="1"/>
  </cols>
  <sheetData>
    <row r="1" spans="1:24" x14ac:dyDescent="0.25">
      <c r="A1" s="2" t="s">
        <v>74</v>
      </c>
      <c r="B1" t="s">
        <v>75</v>
      </c>
    </row>
    <row r="2" spans="1:24" x14ac:dyDescent="0.25">
      <c r="A2" s="2" t="s">
        <v>75</v>
      </c>
      <c r="B2" t="s">
        <v>77</v>
      </c>
      <c r="D2" s="2" t="s">
        <v>74</v>
      </c>
      <c r="E2" t="s">
        <v>74</v>
      </c>
      <c r="F2" t="s">
        <v>74</v>
      </c>
      <c r="G2" t="s">
        <v>75</v>
      </c>
      <c r="H2" t="s">
        <v>75</v>
      </c>
    </row>
    <row r="3" spans="1:24" x14ac:dyDescent="0.25">
      <c r="A3" s="2" t="s">
        <v>76</v>
      </c>
      <c r="B3" t="s">
        <v>74</v>
      </c>
      <c r="D3" s="2" t="s">
        <v>75</v>
      </c>
      <c r="E3" t="s">
        <v>75</v>
      </c>
      <c r="F3" t="s">
        <v>75</v>
      </c>
      <c r="G3" t="s">
        <v>75</v>
      </c>
      <c r="H3" t="s">
        <v>75</v>
      </c>
      <c r="I3" t="s">
        <v>75</v>
      </c>
      <c r="J3" t="s">
        <v>75</v>
      </c>
      <c r="K3" t="s">
        <v>76</v>
      </c>
      <c r="L3" t="s">
        <v>75</v>
      </c>
      <c r="M3" t="s">
        <v>75</v>
      </c>
      <c r="N3" t="s">
        <v>75</v>
      </c>
      <c r="O3" t="s">
        <v>75</v>
      </c>
      <c r="P3" t="s">
        <v>75</v>
      </c>
      <c r="Q3" t="s">
        <v>75</v>
      </c>
      <c r="R3" t="s">
        <v>75</v>
      </c>
      <c r="S3" t="s">
        <v>75</v>
      </c>
      <c r="T3" t="s">
        <v>75</v>
      </c>
      <c r="U3" t="s">
        <v>75</v>
      </c>
      <c r="V3" t="s">
        <v>74</v>
      </c>
      <c r="W3" t="s">
        <v>74</v>
      </c>
      <c r="X3" t="s">
        <v>76</v>
      </c>
    </row>
    <row r="4" spans="1:24" x14ac:dyDescent="0.25">
      <c r="A4" s="2" t="s">
        <v>77</v>
      </c>
      <c r="B4" t="s">
        <v>131</v>
      </c>
      <c r="D4" s="2" t="s">
        <v>76</v>
      </c>
      <c r="E4" t="s">
        <v>76</v>
      </c>
      <c r="F4" t="s">
        <v>76</v>
      </c>
      <c r="G4" t="s">
        <v>76</v>
      </c>
      <c r="H4" t="s">
        <v>76</v>
      </c>
      <c r="I4" t="s">
        <v>76</v>
      </c>
      <c r="J4" t="s">
        <v>75</v>
      </c>
      <c r="K4" t="s">
        <v>75</v>
      </c>
      <c r="L4" t="s">
        <v>75</v>
      </c>
      <c r="M4" t="s">
        <v>76</v>
      </c>
      <c r="N4" t="s">
        <v>77</v>
      </c>
      <c r="O4" t="s">
        <v>77</v>
      </c>
    </row>
    <row r="5" spans="1:24" x14ac:dyDescent="0.25">
      <c r="A5" s="2" t="s">
        <v>78</v>
      </c>
      <c r="B5" t="s">
        <v>132</v>
      </c>
      <c r="D5" s="2" t="s">
        <v>77</v>
      </c>
      <c r="E5" t="s">
        <v>78</v>
      </c>
      <c r="F5" t="s">
        <v>79</v>
      </c>
      <c r="G5" t="s">
        <v>77</v>
      </c>
      <c r="H5" t="s">
        <v>77</v>
      </c>
    </row>
    <row r="6" spans="1:24" x14ac:dyDescent="0.25">
      <c r="A6" s="2" t="s">
        <v>79</v>
      </c>
      <c r="B6" t="s">
        <v>133</v>
      </c>
      <c r="D6" s="2" t="s">
        <v>78</v>
      </c>
      <c r="E6" t="s">
        <v>79</v>
      </c>
      <c r="F6" t="s">
        <v>80</v>
      </c>
      <c r="G6" t="s">
        <v>80</v>
      </c>
      <c r="H6" t="s">
        <v>79</v>
      </c>
      <c r="I6" t="s">
        <v>79</v>
      </c>
      <c r="J6" t="s">
        <v>80</v>
      </c>
      <c r="K6" t="s">
        <v>79</v>
      </c>
      <c r="L6" t="s">
        <v>80</v>
      </c>
      <c r="M6" t="s">
        <v>77</v>
      </c>
      <c r="N6" t="s">
        <v>77</v>
      </c>
    </row>
    <row r="7" spans="1:24" x14ac:dyDescent="0.25">
      <c r="A7" s="2" t="s">
        <v>80</v>
      </c>
      <c r="B7" t="s">
        <v>134</v>
      </c>
      <c r="D7" s="2" t="s">
        <v>79</v>
      </c>
      <c r="E7" t="s">
        <v>80</v>
      </c>
      <c r="F7" t="s">
        <v>80</v>
      </c>
      <c r="G7" t="s">
        <v>79</v>
      </c>
      <c r="H7" t="s">
        <v>79</v>
      </c>
      <c r="I7" t="s">
        <v>80</v>
      </c>
      <c r="J7" t="s">
        <v>79</v>
      </c>
      <c r="K7" t="s">
        <v>80</v>
      </c>
      <c r="L7" t="s">
        <v>77</v>
      </c>
      <c r="M7" t="s">
        <v>77</v>
      </c>
    </row>
    <row r="8" spans="1:24" x14ac:dyDescent="0.25">
      <c r="A8" s="2" t="s">
        <v>110</v>
      </c>
      <c r="B8" t="s">
        <v>135</v>
      </c>
      <c r="D8" s="2" t="s">
        <v>80</v>
      </c>
      <c r="E8" t="s">
        <v>79</v>
      </c>
      <c r="F8" t="s">
        <v>79</v>
      </c>
      <c r="G8" t="s">
        <v>80</v>
      </c>
      <c r="H8" t="s">
        <v>80</v>
      </c>
      <c r="I8" t="s">
        <v>80</v>
      </c>
      <c r="J8" t="s">
        <v>79</v>
      </c>
      <c r="K8" t="s">
        <v>79</v>
      </c>
    </row>
    <row r="9" spans="1:24" x14ac:dyDescent="0.25">
      <c r="A9" s="2" t="s">
        <v>111</v>
      </c>
      <c r="B9" t="s">
        <v>136</v>
      </c>
    </row>
    <row r="10" spans="1:24" x14ac:dyDescent="0.25">
      <c r="A10" s="2" t="s">
        <v>112</v>
      </c>
      <c r="B10" t="s">
        <v>137</v>
      </c>
      <c r="C10" s="2" t="s">
        <v>74</v>
      </c>
      <c r="D10" t="s">
        <v>74</v>
      </c>
      <c r="E10" t="s">
        <v>74</v>
      </c>
      <c r="F10" t="s">
        <v>74</v>
      </c>
      <c r="G10" t="s">
        <v>75</v>
      </c>
    </row>
    <row r="11" spans="1:24" x14ac:dyDescent="0.25">
      <c r="A11" s="2" t="s">
        <v>113</v>
      </c>
      <c r="B11" t="s">
        <v>138</v>
      </c>
      <c r="C11" s="2" t="s">
        <v>75</v>
      </c>
      <c r="D11" t="s">
        <v>75</v>
      </c>
      <c r="E11" t="s">
        <v>75</v>
      </c>
      <c r="F11" t="s">
        <v>75</v>
      </c>
      <c r="G11" t="s">
        <v>75</v>
      </c>
      <c r="H11" t="s">
        <v>75</v>
      </c>
      <c r="I11" t="s">
        <v>75</v>
      </c>
      <c r="J11" t="s">
        <v>75</v>
      </c>
      <c r="K11" t="s">
        <v>76</v>
      </c>
      <c r="L11" t="s">
        <v>75</v>
      </c>
      <c r="M11" t="s">
        <v>75</v>
      </c>
      <c r="N11" t="s">
        <v>75</v>
      </c>
      <c r="O11" t="s">
        <v>75</v>
      </c>
      <c r="P11" t="s">
        <v>75</v>
      </c>
      <c r="Q11" t="s">
        <v>75</v>
      </c>
      <c r="R11" t="s">
        <v>75</v>
      </c>
      <c r="S11" t="s">
        <v>75</v>
      </c>
      <c r="T11" t="s">
        <v>75</v>
      </c>
      <c r="U11" t="s">
        <v>75</v>
      </c>
      <c r="V11" t="s">
        <v>74</v>
      </c>
      <c r="W11" t="s">
        <v>75</v>
      </c>
      <c r="X11" t="s">
        <v>76</v>
      </c>
    </row>
    <row r="12" spans="1:24" x14ac:dyDescent="0.25">
      <c r="A12" s="2" t="s">
        <v>114</v>
      </c>
      <c r="C12" s="2" t="s">
        <v>76</v>
      </c>
      <c r="D12" t="s">
        <v>76</v>
      </c>
      <c r="E12" t="s">
        <v>76</v>
      </c>
      <c r="F12" t="s">
        <v>76</v>
      </c>
      <c r="G12" t="s">
        <v>76</v>
      </c>
      <c r="H12" t="s">
        <v>76</v>
      </c>
      <c r="I12" t="s">
        <v>76</v>
      </c>
      <c r="J12" t="s">
        <v>75</v>
      </c>
      <c r="K12" t="s">
        <v>75</v>
      </c>
      <c r="L12" t="s">
        <v>76</v>
      </c>
      <c r="M12" t="s">
        <v>76</v>
      </c>
      <c r="N12" t="s">
        <v>77</v>
      </c>
    </row>
    <row r="13" spans="1:24" x14ac:dyDescent="0.25">
      <c r="A13" s="2" t="s">
        <v>115</v>
      </c>
      <c r="C13" s="2" t="s">
        <v>77</v>
      </c>
      <c r="D13" t="s">
        <v>77</v>
      </c>
      <c r="E13" t="s">
        <v>78</v>
      </c>
      <c r="F13" t="s">
        <v>77</v>
      </c>
      <c r="G13" t="s">
        <v>77</v>
      </c>
      <c r="H13" t="s">
        <v>77</v>
      </c>
    </row>
    <row r="14" spans="1:24" x14ac:dyDescent="0.25">
      <c r="A14" s="2" t="s">
        <v>116</v>
      </c>
      <c r="B14" t="s">
        <v>118</v>
      </c>
      <c r="C14" s="2" t="s">
        <v>78</v>
      </c>
      <c r="D14" t="s">
        <v>79</v>
      </c>
    </row>
    <row r="15" spans="1:24" x14ac:dyDescent="0.25">
      <c r="A15" s="2" t="s">
        <v>117</v>
      </c>
      <c r="B15" t="s">
        <v>139</v>
      </c>
      <c r="C15" s="2" t="s">
        <v>79</v>
      </c>
      <c r="D15" t="s">
        <v>79</v>
      </c>
      <c r="E15" t="s">
        <v>80</v>
      </c>
      <c r="F15" t="s">
        <v>79</v>
      </c>
      <c r="G15" t="s">
        <v>79</v>
      </c>
      <c r="H15" t="s">
        <v>79</v>
      </c>
      <c r="I15" t="s">
        <v>80</v>
      </c>
      <c r="J15" t="s">
        <v>80</v>
      </c>
      <c r="K15" t="s">
        <v>79</v>
      </c>
      <c r="L15" t="s">
        <v>77</v>
      </c>
    </row>
    <row r="16" spans="1:24" x14ac:dyDescent="0.25">
      <c r="A16" s="2" t="s">
        <v>118</v>
      </c>
      <c r="B16" t="s">
        <v>140</v>
      </c>
      <c r="C16" s="2" t="s">
        <v>80</v>
      </c>
      <c r="D16" t="s">
        <v>80</v>
      </c>
      <c r="E16" t="s">
        <v>79</v>
      </c>
      <c r="F16" t="s">
        <v>79</v>
      </c>
      <c r="G16" t="s">
        <v>80</v>
      </c>
      <c r="H16" t="s">
        <v>80</v>
      </c>
      <c r="I16" t="s">
        <v>80</v>
      </c>
      <c r="J16" t="s">
        <v>79</v>
      </c>
    </row>
    <row r="17" spans="1:18" x14ac:dyDescent="0.25">
      <c r="A17" s="2" t="s">
        <v>119</v>
      </c>
    </row>
    <row r="18" spans="1:18" x14ac:dyDescent="0.25">
      <c r="A18" s="2" t="s">
        <v>120</v>
      </c>
    </row>
    <row r="19" spans="1:18" x14ac:dyDescent="0.25">
      <c r="A19" s="2" t="s">
        <v>121</v>
      </c>
      <c r="C19" s="2" t="s">
        <v>74</v>
      </c>
      <c r="D19" t="s">
        <v>74</v>
      </c>
      <c r="E19" t="s">
        <v>74</v>
      </c>
      <c r="F19" t="s">
        <v>74</v>
      </c>
      <c r="G19" t="s">
        <v>75</v>
      </c>
    </row>
    <row r="20" spans="1:18" x14ac:dyDescent="0.25">
      <c r="A20" s="2" t="s">
        <v>122</v>
      </c>
      <c r="C20" s="2" t="s">
        <v>75</v>
      </c>
      <c r="D20" t="s">
        <v>74</v>
      </c>
      <c r="E20" t="s">
        <v>76</v>
      </c>
      <c r="K20" s="2" t="s">
        <v>74</v>
      </c>
      <c r="L20" t="s">
        <v>74</v>
      </c>
      <c r="M20" t="s">
        <v>74</v>
      </c>
      <c r="N20" t="s">
        <v>74</v>
      </c>
      <c r="O20" t="s">
        <v>75</v>
      </c>
      <c r="P20" t="s">
        <v>74</v>
      </c>
      <c r="Q20" t="s">
        <v>75</v>
      </c>
      <c r="R20" t="s">
        <v>75</v>
      </c>
    </row>
    <row r="21" spans="1:18" x14ac:dyDescent="0.25">
      <c r="A21" s="2" t="s">
        <v>123</v>
      </c>
      <c r="B21" t="s">
        <v>141</v>
      </c>
      <c r="C21" s="2" t="s">
        <v>76</v>
      </c>
      <c r="D21" t="s">
        <v>77</v>
      </c>
      <c r="E21" t="s">
        <v>75</v>
      </c>
      <c r="F21" t="s">
        <v>77</v>
      </c>
      <c r="G21" t="s">
        <v>76</v>
      </c>
      <c r="H21" t="s">
        <v>77</v>
      </c>
      <c r="K21" t="s">
        <v>75</v>
      </c>
      <c r="L21" t="s">
        <v>74</v>
      </c>
      <c r="M21" t="s">
        <v>76</v>
      </c>
      <c r="N21" t="s">
        <v>75</v>
      </c>
      <c r="O21" t="s">
        <v>74</v>
      </c>
      <c r="P21" t="s">
        <v>77</v>
      </c>
      <c r="Q21" t="s">
        <v>79</v>
      </c>
    </row>
    <row r="22" spans="1:18" x14ac:dyDescent="0.25">
      <c r="A22" s="2" t="s">
        <v>124</v>
      </c>
      <c r="C22" s="2" t="s">
        <v>77</v>
      </c>
      <c r="D22" t="s">
        <v>78</v>
      </c>
      <c r="E22" t="s">
        <v>78</v>
      </c>
      <c r="F22" t="s">
        <v>76</v>
      </c>
      <c r="G22" t="s">
        <v>77</v>
      </c>
      <c r="H22" t="s">
        <v>76</v>
      </c>
      <c r="I22" t="s">
        <v>80</v>
      </c>
      <c r="K22" t="s">
        <v>76</v>
      </c>
      <c r="L22" t="s">
        <v>75</v>
      </c>
      <c r="M22" t="s">
        <v>75</v>
      </c>
    </row>
    <row r="23" spans="1:18" x14ac:dyDescent="0.25">
      <c r="A23" s="2" t="s">
        <v>125</v>
      </c>
      <c r="B23" t="s">
        <v>142</v>
      </c>
      <c r="C23" s="2" t="s">
        <v>78</v>
      </c>
      <c r="D23" t="s">
        <v>77</v>
      </c>
      <c r="E23" t="s">
        <v>77</v>
      </c>
      <c r="K23" t="s">
        <v>77</v>
      </c>
      <c r="L23" t="s">
        <v>78</v>
      </c>
      <c r="M23" t="s">
        <v>77</v>
      </c>
      <c r="N23" t="s">
        <v>77</v>
      </c>
      <c r="O23" t="s">
        <v>77</v>
      </c>
      <c r="P23" t="s">
        <v>76</v>
      </c>
      <c r="Q23" t="s">
        <v>79</v>
      </c>
      <c r="R23" t="s">
        <v>74</v>
      </c>
    </row>
    <row r="24" spans="1:18" x14ac:dyDescent="0.25">
      <c r="A24" s="2" t="s">
        <v>126</v>
      </c>
      <c r="B24" t="s">
        <v>143</v>
      </c>
      <c r="C24" s="2" t="s">
        <v>79</v>
      </c>
      <c r="K24" t="s">
        <v>78</v>
      </c>
      <c r="L24" t="s">
        <v>78</v>
      </c>
      <c r="M24" t="s">
        <v>77</v>
      </c>
      <c r="N24" t="s">
        <v>78</v>
      </c>
      <c r="O24" t="s">
        <v>79</v>
      </c>
    </row>
    <row r="25" spans="1:18" x14ac:dyDescent="0.25">
      <c r="A25" s="2" t="s">
        <v>127</v>
      </c>
      <c r="B25" t="s">
        <v>144</v>
      </c>
      <c r="C25" s="2" t="s">
        <v>80</v>
      </c>
      <c r="D25" t="s">
        <v>110</v>
      </c>
      <c r="K25" t="s">
        <v>79</v>
      </c>
      <c r="L25" t="s">
        <v>79</v>
      </c>
      <c r="M25" t="s">
        <v>78</v>
      </c>
      <c r="N25" t="s">
        <v>79</v>
      </c>
      <c r="O25" t="s">
        <v>77</v>
      </c>
      <c r="P25" t="s">
        <v>80</v>
      </c>
    </row>
    <row r="26" spans="1:18" x14ac:dyDescent="0.25">
      <c r="A26" s="2" t="s">
        <v>128</v>
      </c>
      <c r="B26" t="s">
        <v>145</v>
      </c>
      <c r="C26" s="2" t="s">
        <v>110</v>
      </c>
      <c r="D26" t="s">
        <v>112</v>
      </c>
      <c r="K26" t="s">
        <v>80</v>
      </c>
      <c r="L26" t="s">
        <v>119</v>
      </c>
      <c r="M26" t="s">
        <v>110</v>
      </c>
    </row>
    <row r="27" spans="1:18" x14ac:dyDescent="0.25">
      <c r="A27" s="2" t="s">
        <v>129</v>
      </c>
      <c r="B27" t="s">
        <v>126</v>
      </c>
      <c r="C27" s="2" t="s">
        <v>111</v>
      </c>
      <c r="D27" t="s">
        <v>111</v>
      </c>
      <c r="E27" t="s">
        <v>113</v>
      </c>
      <c r="K27" t="s">
        <v>110</v>
      </c>
      <c r="L27" t="s">
        <v>80</v>
      </c>
    </row>
    <row r="28" spans="1:18" x14ac:dyDescent="0.25">
      <c r="C28" s="2" t="s">
        <v>112</v>
      </c>
      <c r="D28" t="s">
        <v>111</v>
      </c>
      <c r="E28" t="s">
        <v>112</v>
      </c>
      <c r="K28" t="s">
        <v>111</v>
      </c>
      <c r="L28" t="s">
        <v>111</v>
      </c>
      <c r="M28" t="s">
        <v>80</v>
      </c>
    </row>
    <row r="29" spans="1:18" x14ac:dyDescent="0.25">
      <c r="C29" s="2" t="s">
        <v>113</v>
      </c>
      <c r="D29" t="s">
        <v>114</v>
      </c>
      <c r="K29" t="s">
        <v>112</v>
      </c>
    </row>
    <row r="30" spans="1:18" x14ac:dyDescent="0.25">
      <c r="C30" s="2" t="s">
        <v>114</v>
      </c>
      <c r="D30" t="s">
        <v>115</v>
      </c>
      <c r="K30" t="s">
        <v>113</v>
      </c>
    </row>
    <row r="31" spans="1:18" x14ac:dyDescent="0.25">
      <c r="C31" s="2" t="s">
        <v>115</v>
      </c>
      <c r="D31" t="s">
        <v>116</v>
      </c>
      <c r="K31" t="s">
        <v>114</v>
      </c>
      <c r="L31" t="s">
        <v>111</v>
      </c>
    </row>
    <row r="32" spans="1:18" x14ac:dyDescent="0.25">
      <c r="C32" s="2" t="s">
        <v>116</v>
      </c>
      <c r="D32" t="s">
        <v>118</v>
      </c>
      <c r="K32" t="s">
        <v>115</v>
      </c>
    </row>
    <row r="33" spans="3:16" x14ac:dyDescent="0.25">
      <c r="C33" s="2" t="s">
        <v>117</v>
      </c>
      <c r="K33" t="s">
        <v>116</v>
      </c>
      <c r="L33" t="s">
        <v>118</v>
      </c>
      <c r="M33" t="s">
        <v>116</v>
      </c>
      <c r="N33" t="s">
        <v>117</v>
      </c>
      <c r="O33" t="s">
        <v>114</v>
      </c>
    </row>
    <row r="34" spans="3:16" x14ac:dyDescent="0.25">
      <c r="C34" s="2" t="s">
        <v>118</v>
      </c>
      <c r="D34" t="s">
        <v>118</v>
      </c>
      <c r="E34" t="s">
        <v>120</v>
      </c>
      <c r="F34" t="s">
        <v>117</v>
      </c>
      <c r="K34" t="s">
        <v>117</v>
      </c>
      <c r="L34" t="s">
        <v>119</v>
      </c>
    </row>
    <row r="35" spans="3:16" x14ac:dyDescent="0.25">
      <c r="C35" s="2" t="s">
        <v>119</v>
      </c>
      <c r="D35" t="s">
        <v>119</v>
      </c>
      <c r="E35" t="s">
        <v>121</v>
      </c>
      <c r="K35" t="s">
        <v>118</v>
      </c>
      <c r="L35" t="s">
        <v>118</v>
      </c>
      <c r="M35" t="s">
        <v>118</v>
      </c>
      <c r="N35" t="s">
        <v>121</v>
      </c>
      <c r="O35" t="s">
        <v>116</v>
      </c>
      <c r="P35" t="s">
        <v>116</v>
      </c>
    </row>
    <row r="36" spans="3:16" x14ac:dyDescent="0.25">
      <c r="C36" s="2" t="s">
        <v>120</v>
      </c>
      <c r="D36" t="s">
        <v>125</v>
      </c>
      <c r="E36" t="s">
        <v>121</v>
      </c>
      <c r="F36" t="s">
        <v>121</v>
      </c>
      <c r="G36" t="s">
        <v>121</v>
      </c>
      <c r="H36" t="s">
        <v>120</v>
      </c>
      <c r="I36" t="s">
        <v>118</v>
      </c>
      <c r="K36" t="s">
        <v>119</v>
      </c>
      <c r="L36" t="s">
        <v>123</v>
      </c>
      <c r="M36" t="s">
        <v>118</v>
      </c>
      <c r="N36" t="s">
        <v>119</v>
      </c>
      <c r="O36" t="s">
        <v>116</v>
      </c>
    </row>
    <row r="37" spans="3:16" x14ac:dyDescent="0.25">
      <c r="C37" s="2" t="s">
        <v>121</v>
      </c>
      <c r="D37" t="s">
        <v>123</v>
      </c>
      <c r="E37" t="s">
        <v>120</v>
      </c>
      <c r="F37" t="s">
        <v>120</v>
      </c>
      <c r="G37" t="s">
        <v>120</v>
      </c>
      <c r="H37" t="s">
        <v>122</v>
      </c>
      <c r="K37" t="s">
        <v>120</v>
      </c>
      <c r="L37" t="s">
        <v>122</v>
      </c>
    </row>
    <row r="38" spans="3:16" x14ac:dyDescent="0.25">
      <c r="C38" s="2" t="s">
        <v>122</v>
      </c>
      <c r="D38" t="s">
        <v>123</v>
      </c>
      <c r="E38" t="s">
        <v>119</v>
      </c>
      <c r="F38" t="s">
        <v>125</v>
      </c>
      <c r="G38" t="s">
        <v>120</v>
      </c>
      <c r="K38" t="s">
        <v>121</v>
      </c>
      <c r="L38" t="s">
        <v>122</v>
      </c>
      <c r="M38" t="s">
        <v>119</v>
      </c>
    </row>
    <row r="39" spans="3:16" x14ac:dyDescent="0.25">
      <c r="C39" s="2" t="s">
        <v>123</v>
      </c>
      <c r="D39" t="s">
        <v>122</v>
      </c>
      <c r="E39" t="s">
        <v>121</v>
      </c>
      <c r="F39" t="s">
        <v>122</v>
      </c>
      <c r="K39" t="s">
        <v>122</v>
      </c>
      <c r="L39" t="s">
        <v>122</v>
      </c>
      <c r="M39" t="s">
        <v>120</v>
      </c>
      <c r="N39" t="s">
        <v>123</v>
      </c>
    </row>
    <row r="40" spans="3:16" x14ac:dyDescent="0.25">
      <c r="C40" s="2" t="s">
        <v>124</v>
      </c>
      <c r="D40" t="s">
        <v>124</v>
      </c>
      <c r="E40" t="s">
        <v>122</v>
      </c>
      <c r="K40" t="s">
        <v>123</v>
      </c>
      <c r="L40" t="s">
        <v>118</v>
      </c>
      <c r="M40" t="s">
        <v>121</v>
      </c>
    </row>
    <row r="41" spans="3:16" x14ac:dyDescent="0.25">
      <c r="C41" s="2" t="s">
        <v>125</v>
      </c>
      <c r="D41" t="s">
        <v>125</v>
      </c>
      <c r="E41" t="s">
        <v>124</v>
      </c>
      <c r="F41" t="s">
        <v>125</v>
      </c>
      <c r="G41" t="s">
        <v>123</v>
      </c>
    </row>
  </sheetData>
  <sortState xmlns:xlrd2="http://schemas.microsoft.com/office/spreadsheetml/2017/richdata2" ref="D2:Y3">
    <sortCondition ref="E3"/>
  </sortSt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89509-1C3F-4228-9D6B-0AB8C55FE553}">
  <dimension ref="A1:P62"/>
  <sheetViews>
    <sheetView workbookViewId="0">
      <selection activeCell="D2" sqref="D2:D3"/>
    </sheetView>
  </sheetViews>
  <sheetFormatPr defaultRowHeight="15" x14ac:dyDescent="0.25"/>
  <sheetData>
    <row r="1" spans="1:16" x14ac:dyDescent="0.25">
      <c r="A1" t="s">
        <v>0</v>
      </c>
      <c r="B1" t="s">
        <v>1</v>
      </c>
    </row>
    <row r="2" spans="1:16" x14ac:dyDescent="0.25">
      <c r="A2" t="s">
        <v>4</v>
      </c>
      <c r="B2">
        <v>6741.5</v>
      </c>
      <c r="C2" t="str">
        <f>VLOOKUP(B2,$L$7:$M$14,2,TRUE)</f>
        <v>A3</v>
      </c>
      <c r="D2" s="2"/>
      <c r="E2" t="s">
        <v>76</v>
      </c>
      <c r="J2" t="s">
        <v>63</v>
      </c>
      <c r="K2" s="1">
        <f>MAX(B2:B60)</f>
        <v>10311.18</v>
      </c>
    </row>
    <row r="3" spans="1:16" x14ac:dyDescent="0.25">
      <c r="A3" t="s">
        <v>5</v>
      </c>
      <c r="B3">
        <v>7095.83</v>
      </c>
      <c r="C3" t="str">
        <f t="shared" ref="C3:C59" si="0">VLOOKUP(B3,$L$7:$M$14,2,TRUE)</f>
        <v>A3</v>
      </c>
      <c r="D3" s="2"/>
      <c r="E3" t="s">
        <v>76</v>
      </c>
      <c r="G3" t="s">
        <v>147</v>
      </c>
      <c r="J3" t="s">
        <v>64</v>
      </c>
      <c r="K3" s="1">
        <f>MIN(B2:B60)</f>
        <v>4889.68</v>
      </c>
    </row>
    <row r="4" spans="1:16" x14ac:dyDescent="0.25">
      <c r="A4" t="s">
        <v>6</v>
      </c>
      <c r="B4">
        <v>7004.4</v>
      </c>
      <c r="C4" t="str">
        <f t="shared" si="0"/>
        <v>A3</v>
      </c>
      <c r="D4" t="s">
        <v>76</v>
      </c>
      <c r="E4" t="s">
        <v>76</v>
      </c>
      <c r="F4">
        <f>VLOOKUP(D4,$N$8:$P$14,3,FALSE)</f>
        <v>6798.1028283426913</v>
      </c>
      <c r="G4">
        <f>ABS((F4-B4)/B4)*100</f>
        <v>2.9452511515234479</v>
      </c>
      <c r="J4" t="s">
        <v>65</v>
      </c>
      <c r="K4">
        <f>1+3.3*(LOG(59))</f>
        <v>6.8438116384190755</v>
      </c>
      <c r="L4">
        <f>(K2-K3)/L5</f>
        <v>26.839108910891088</v>
      </c>
    </row>
    <row r="5" spans="1:16" x14ac:dyDescent="0.25">
      <c r="A5" t="s">
        <v>7</v>
      </c>
      <c r="B5">
        <v>6932.35</v>
      </c>
      <c r="C5" t="str">
        <f t="shared" si="0"/>
        <v>A3</v>
      </c>
      <c r="D5" t="s">
        <v>76</v>
      </c>
      <c r="E5" t="s">
        <v>76</v>
      </c>
      <c r="F5">
        <f t="shared" ref="F5:F62" si="1">VLOOKUP(D5,$N$8:$P$14,3,FALSE)</f>
        <v>6798.1028283426913</v>
      </c>
      <c r="G5">
        <f t="shared" ref="G5:G59" si="2">ABS((F5-B5)/B5)*100</f>
        <v>1.9365319358847877</v>
      </c>
      <c r="J5" t="s">
        <v>66</v>
      </c>
      <c r="K5">
        <f>(K2-K3)/K4</f>
        <v>792.17551365168345</v>
      </c>
      <c r="L5">
        <v>202</v>
      </c>
    </row>
    <row r="6" spans="1:16" x14ac:dyDescent="0.25">
      <c r="A6" t="s">
        <v>8</v>
      </c>
      <c r="B6">
        <v>6751.79</v>
      </c>
      <c r="C6" t="str">
        <f t="shared" si="0"/>
        <v>A3</v>
      </c>
      <c r="D6" t="s">
        <v>76</v>
      </c>
      <c r="E6" t="s">
        <v>76</v>
      </c>
      <c r="F6">
        <f t="shared" si="1"/>
        <v>6798.1028283426913</v>
      </c>
      <c r="G6">
        <f t="shared" si="2"/>
        <v>0.68593407589233846</v>
      </c>
    </row>
    <row r="7" spans="1:16" x14ac:dyDescent="0.25">
      <c r="A7" t="s">
        <v>9</v>
      </c>
      <c r="B7">
        <v>6837.1</v>
      </c>
      <c r="C7" t="str">
        <f t="shared" si="0"/>
        <v>A3</v>
      </c>
      <c r="D7" t="s">
        <v>76</v>
      </c>
      <c r="E7" t="s">
        <v>76</v>
      </c>
      <c r="F7">
        <f t="shared" si="1"/>
        <v>6798.1028283426913</v>
      </c>
      <c r="G7">
        <f t="shared" si="2"/>
        <v>0.57037591460281523</v>
      </c>
      <c r="L7" s="1">
        <f>K3</f>
        <v>4889.68</v>
      </c>
      <c r="M7" t="s">
        <v>74</v>
      </c>
      <c r="N7" t="s">
        <v>82</v>
      </c>
    </row>
    <row r="8" spans="1:16" x14ac:dyDescent="0.25">
      <c r="A8" t="s">
        <v>10</v>
      </c>
      <c r="B8">
        <v>6996.69</v>
      </c>
      <c r="C8" t="str">
        <f t="shared" si="0"/>
        <v>A3</v>
      </c>
      <c r="D8" t="s">
        <v>76</v>
      </c>
      <c r="E8" t="s">
        <v>76</v>
      </c>
      <c r="F8">
        <f t="shared" si="1"/>
        <v>6798.1028283426913</v>
      </c>
      <c r="G8">
        <f t="shared" si="2"/>
        <v>2.838301706339831</v>
      </c>
      <c r="J8" t="s">
        <v>67</v>
      </c>
      <c r="K8" s="1">
        <f>K3</f>
        <v>4889.68</v>
      </c>
      <c r="L8" s="1">
        <f>K8+$K$5</f>
        <v>5681.8555136516834</v>
      </c>
      <c r="M8" t="s">
        <v>75</v>
      </c>
      <c r="N8" t="s">
        <v>74</v>
      </c>
      <c r="O8">
        <f>(K8+L8)/2</f>
        <v>5285.7677568258423</v>
      </c>
      <c r="P8">
        <f>(3*O8+2*O9)/4</f>
        <v>7003.2974528581435</v>
      </c>
    </row>
    <row r="9" spans="1:16" x14ac:dyDescent="0.25">
      <c r="A9" t="s">
        <v>11</v>
      </c>
      <c r="B9">
        <v>6446.39</v>
      </c>
      <c r="C9" t="str">
        <f t="shared" si="0"/>
        <v>A2</v>
      </c>
      <c r="D9" t="s">
        <v>76</v>
      </c>
      <c r="E9" t="s">
        <v>75</v>
      </c>
      <c r="F9">
        <f t="shared" si="1"/>
        <v>6798.1028283426913</v>
      </c>
      <c r="G9">
        <f t="shared" si="2"/>
        <v>5.4559657163573867</v>
      </c>
      <c r="J9" t="s">
        <v>68</v>
      </c>
      <c r="K9" s="1">
        <f>L8</f>
        <v>5681.8555136516834</v>
      </c>
      <c r="L9" s="1">
        <f>K9+$K$5</f>
        <v>6474.0310273033665</v>
      </c>
      <c r="M9" t="s">
        <v>76</v>
      </c>
      <c r="N9" t="s">
        <v>75</v>
      </c>
      <c r="O9">
        <f t="shared" ref="O9:O14" si="3">(K9+L9)/2</f>
        <v>6077.9432704775245</v>
      </c>
      <c r="P9">
        <f>(2*O8+15*O9+2*O10)/19</f>
        <v>6077.9432704775245</v>
      </c>
    </row>
    <row r="10" spans="1:16" x14ac:dyDescent="0.25">
      <c r="A10" t="s">
        <v>12</v>
      </c>
      <c r="B10">
        <v>6107.4</v>
      </c>
      <c r="C10" t="str">
        <f t="shared" si="0"/>
        <v>A2</v>
      </c>
      <c r="D10" t="s">
        <v>76</v>
      </c>
      <c r="E10" t="s">
        <v>75</v>
      </c>
      <c r="F10">
        <f t="shared" si="1"/>
        <v>6798.1028283426913</v>
      </c>
      <c r="G10">
        <f t="shared" si="2"/>
        <v>11.309277734268129</v>
      </c>
      <c r="J10" t="s">
        <v>69</v>
      </c>
      <c r="K10" s="1">
        <f t="shared" ref="K10:K14" si="4">L9</f>
        <v>6474.0310273033665</v>
      </c>
      <c r="L10" s="1">
        <f t="shared" ref="L10:L13" si="5">K10+$K$5</f>
        <v>7266.2065409550496</v>
      </c>
      <c r="M10" t="s">
        <v>77</v>
      </c>
      <c r="N10" t="s">
        <v>76</v>
      </c>
      <c r="O10">
        <f t="shared" si="3"/>
        <v>6870.1187841292085</v>
      </c>
      <c r="P10">
        <f>(3*O9+6*O10+2*O11)/11</f>
        <v>6798.1028283426913</v>
      </c>
    </row>
    <row r="11" spans="1:16" x14ac:dyDescent="0.25">
      <c r="A11" t="s">
        <v>13</v>
      </c>
      <c r="B11">
        <v>5956.98</v>
      </c>
      <c r="C11" t="str">
        <f t="shared" si="0"/>
        <v>A2</v>
      </c>
      <c r="D11" t="s">
        <v>75</v>
      </c>
      <c r="E11" t="s">
        <v>75</v>
      </c>
      <c r="F11">
        <f t="shared" si="1"/>
        <v>6077.9432704775245</v>
      </c>
      <c r="G11">
        <f t="shared" si="2"/>
        <v>2.0306140104134132</v>
      </c>
      <c r="J11" t="s">
        <v>70</v>
      </c>
      <c r="K11" s="1">
        <f t="shared" si="4"/>
        <v>7266.2065409550496</v>
      </c>
      <c r="L11" s="1">
        <f t="shared" si="5"/>
        <v>8058.3820546067327</v>
      </c>
      <c r="M11" t="s">
        <v>78</v>
      </c>
      <c r="N11" t="s">
        <v>77</v>
      </c>
      <c r="O11">
        <f t="shared" si="3"/>
        <v>7662.2942977808907</v>
      </c>
      <c r="P11">
        <f>(2*O11+O12+O13)/4</f>
        <v>8256.4259330196546</v>
      </c>
    </row>
    <row r="12" spans="1:16" x14ac:dyDescent="0.25">
      <c r="A12" t="s">
        <v>14</v>
      </c>
      <c r="B12">
        <v>6226.2</v>
      </c>
      <c r="C12" t="str">
        <f t="shared" si="0"/>
        <v>A2</v>
      </c>
      <c r="D12" t="s">
        <v>75</v>
      </c>
      <c r="E12" t="s">
        <v>75</v>
      </c>
      <c r="F12">
        <f t="shared" si="1"/>
        <v>6077.9432704775245</v>
      </c>
      <c r="G12">
        <f t="shared" si="2"/>
        <v>2.3811751874735045</v>
      </c>
      <c r="J12" t="s">
        <v>71</v>
      </c>
      <c r="K12" s="1">
        <f t="shared" si="4"/>
        <v>8058.3820546067327</v>
      </c>
      <c r="L12" s="1">
        <f t="shared" si="5"/>
        <v>8850.5575682584167</v>
      </c>
      <c r="M12" t="s">
        <v>79</v>
      </c>
      <c r="N12" t="s">
        <v>78</v>
      </c>
      <c r="O12">
        <f t="shared" si="3"/>
        <v>8454.4698114325747</v>
      </c>
      <c r="P12">
        <f>(2*O11+4*O13+4*O14)/10</f>
        <v>9221.8996059719011</v>
      </c>
    </row>
    <row r="13" spans="1:16" x14ac:dyDescent="0.25">
      <c r="A13" t="s">
        <v>15</v>
      </c>
      <c r="B13">
        <v>6174.14</v>
      </c>
      <c r="C13" t="str">
        <f t="shared" si="0"/>
        <v>A2</v>
      </c>
      <c r="D13" t="s">
        <v>75</v>
      </c>
      <c r="E13" t="s">
        <v>75</v>
      </c>
      <c r="F13">
        <f t="shared" si="1"/>
        <v>6077.9432704775245</v>
      </c>
      <c r="G13">
        <f t="shared" si="2"/>
        <v>1.5580587664431942</v>
      </c>
      <c r="J13" t="s">
        <v>72</v>
      </c>
      <c r="K13" s="1">
        <f t="shared" si="4"/>
        <v>8850.5575682584167</v>
      </c>
      <c r="L13" s="1">
        <f t="shared" si="5"/>
        <v>9642.7330819101007</v>
      </c>
      <c r="M13" t="s">
        <v>80</v>
      </c>
      <c r="N13" t="s">
        <v>79</v>
      </c>
      <c r="O13">
        <f t="shared" si="3"/>
        <v>9246.6453250842587</v>
      </c>
      <c r="P13">
        <f>(2*O11+3*O13+4*O14)/9</f>
        <v>9219.150081626085</v>
      </c>
    </row>
    <row r="14" spans="1:16" x14ac:dyDescent="0.25">
      <c r="A14" t="s">
        <v>16</v>
      </c>
      <c r="B14">
        <v>6180.77</v>
      </c>
      <c r="C14" t="str">
        <f t="shared" si="0"/>
        <v>A2</v>
      </c>
      <c r="D14" t="s">
        <v>75</v>
      </c>
      <c r="E14" t="s">
        <v>75</v>
      </c>
      <c r="F14">
        <f t="shared" si="1"/>
        <v>6077.9432704775245</v>
      </c>
      <c r="G14">
        <f t="shared" si="2"/>
        <v>1.6636556533000895</v>
      </c>
      <c r="J14" t="s">
        <v>73</v>
      </c>
      <c r="K14" s="1">
        <f t="shared" si="4"/>
        <v>9642.7330819101007</v>
      </c>
      <c r="L14" s="1">
        <f>K2</f>
        <v>10311.18</v>
      </c>
      <c r="N14" t="s">
        <v>80</v>
      </c>
      <c r="O14">
        <f t="shared" si="3"/>
        <v>9976.9565409550505</v>
      </c>
      <c r="P14">
        <f>(4*O13+3*O14)/7</f>
        <v>9559.6358461717409</v>
      </c>
    </row>
    <row r="15" spans="1:16" x14ac:dyDescent="0.25">
      <c r="A15" t="s">
        <v>17</v>
      </c>
      <c r="B15">
        <v>5926.24</v>
      </c>
      <c r="C15" t="str">
        <f t="shared" si="0"/>
        <v>A2</v>
      </c>
      <c r="D15" t="s">
        <v>75</v>
      </c>
      <c r="E15" t="s">
        <v>75</v>
      </c>
      <c r="F15">
        <f t="shared" si="1"/>
        <v>6077.9432704775245</v>
      </c>
      <c r="G15">
        <f t="shared" si="2"/>
        <v>2.5598570168863346</v>
      </c>
    </row>
    <row r="16" spans="1:16" x14ac:dyDescent="0.25">
      <c r="A16" t="s">
        <v>18</v>
      </c>
      <c r="B16">
        <v>6093.59</v>
      </c>
      <c r="C16" t="str">
        <f t="shared" si="0"/>
        <v>A2</v>
      </c>
      <c r="D16" t="s">
        <v>75</v>
      </c>
      <c r="E16" t="s">
        <v>75</v>
      </c>
      <c r="F16">
        <f t="shared" si="1"/>
        <v>6077.9432704775245</v>
      </c>
      <c r="G16">
        <f t="shared" si="2"/>
        <v>0.25677358539835549</v>
      </c>
    </row>
    <row r="17" spans="1:7" x14ac:dyDescent="0.25">
      <c r="A17" t="s">
        <v>19</v>
      </c>
      <c r="B17">
        <v>6475.48</v>
      </c>
      <c r="C17" t="str">
        <f t="shared" si="0"/>
        <v>A3</v>
      </c>
      <c r="D17" t="s">
        <v>75</v>
      </c>
      <c r="E17" t="s">
        <v>76</v>
      </c>
      <c r="F17">
        <f t="shared" si="1"/>
        <v>6077.9432704775245</v>
      </c>
      <c r="G17">
        <f t="shared" si="2"/>
        <v>6.1391082903888989</v>
      </c>
    </row>
    <row r="18" spans="1:7" x14ac:dyDescent="0.25">
      <c r="A18" t="s">
        <v>20</v>
      </c>
      <c r="B18">
        <v>6442.16</v>
      </c>
      <c r="C18" t="str">
        <f t="shared" si="0"/>
        <v>A2</v>
      </c>
      <c r="D18" t="s">
        <v>75</v>
      </c>
      <c r="E18" t="s">
        <v>75</v>
      </c>
      <c r="F18">
        <f t="shared" si="1"/>
        <v>6077.9432704775245</v>
      </c>
      <c r="G18">
        <f t="shared" si="2"/>
        <v>5.6536430253591243</v>
      </c>
    </row>
    <row r="19" spans="1:7" x14ac:dyDescent="0.25">
      <c r="A19" t="s">
        <v>21</v>
      </c>
      <c r="B19">
        <v>6218.67</v>
      </c>
      <c r="C19" t="str">
        <f t="shared" si="0"/>
        <v>A2</v>
      </c>
      <c r="D19" t="s">
        <v>76</v>
      </c>
      <c r="E19" t="s">
        <v>75</v>
      </c>
      <c r="F19">
        <f t="shared" si="1"/>
        <v>6798.1028283426913</v>
      </c>
      <c r="G19">
        <f t="shared" si="2"/>
        <v>9.3176326825943683</v>
      </c>
    </row>
    <row r="20" spans="1:7" x14ac:dyDescent="0.25">
      <c r="A20" t="s">
        <v>22</v>
      </c>
      <c r="B20">
        <v>5852</v>
      </c>
      <c r="C20" t="str">
        <f t="shared" si="0"/>
        <v>A2</v>
      </c>
      <c r="D20" t="s">
        <v>75</v>
      </c>
      <c r="E20" t="s">
        <v>75</v>
      </c>
      <c r="F20">
        <f t="shared" si="1"/>
        <v>6077.9432704775245</v>
      </c>
      <c r="G20">
        <f t="shared" si="2"/>
        <v>3.8609581421313139</v>
      </c>
    </row>
    <row r="21" spans="1:7" x14ac:dyDescent="0.25">
      <c r="A21" t="s">
        <v>23</v>
      </c>
      <c r="B21">
        <v>5937.45</v>
      </c>
      <c r="C21" t="str">
        <f t="shared" si="0"/>
        <v>A2</v>
      </c>
      <c r="D21" t="s">
        <v>75</v>
      </c>
      <c r="E21" t="s">
        <v>75</v>
      </c>
      <c r="F21">
        <f t="shared" si="1"/>
        <v>6077.9432704775245</v>
      </c>
      <c r="G21">
        <f t="shared" si="2"/>
        <v>2.3662223762309522</v>
      </c>
    </row>
    <row r="22" spans="1:7" x14ac:dyDescent="0.25">
      <c r="A22" t="s">
        <v>24</v>
      </c>
      <c r="B22">
        <v>5816.4</v>
      </c>
      <c r="C22" t="str">
        <f t="shared" si="0"/>
        <v>A2</v>
      </c>
      <c r="D22" t="s">
        <v>75</v>
      </c>
      <c r="E22" t="s">
        <v>75</v>
      </c>
      <c r="F22">
        <f t="shared" si="1"/>
        <v>6077.9432704775245</v>
      </c>
      <c r="G22">
        <f t="shared" si="2"/>
        <v>4.4966520610261487</v>
      </c>
    </row>
    <row r="23" spans="1:7" x14ac:dyDescent="0.25">
      <c r="A23" t="s">
        <v>25</v>
      </c>
      <c r="B23">
        <v>5725.3</v>
      </c>
      <c r="C23" t="str">
        <f t="shared" si="0"/>
        <v>A2</v>
      </c>
      <c r="D23" t="s">
        <v>75</v>
      </c>
      <c r="E23" t="s">
        <v>75</v>
      </c>
      <c r="F23">
        <f t="shared" si="1"/>
        <v>6077.9432704775245</v>
      </c>
      <c r="G23">
        <f t="shared" si="2"/>
        <v>6.159385018733067</v>
      </c>
    </row>
    <row r="24" spans="1:7" x14ac:dyDescent="0.25">
      <c r="A24" t="s">
        <v>26</v>
      </c>
      <c r="B24">
        <v>5697.05</v>
      </c>
      <c r="C24" t="str">
        <f t="shared" si="0"/>
        <v>A2</v>
      </c>
      <c r="D24" t="s">
        <v>75</v>
      </c>
      <c r="E24" t="s">
        <v>75</v>
      </c>
      <c r="F24">
        <f t="shared" si="1"/>
        <v>6077.9432704775245</v>
      </c>
      <c r="G24">
        <f t="shared" si="2"/>
        <v>6.6857982723957887</v>
      </c>
    </row>
    <row r="25" spans="1:7" x14ac:dyDescent="0.25">
      <c r="A25" t="s">
        <v>27</v>
      </c>
      <c r="B25">
        <v>5851.98</v>
      </c>
      <c r="C25" t="str">
        <f t="shared" si="0"/>
        <v>A2</v>
      </c>
      <c r="D25" t="s">
        <v>75</v>
      </c>
      <c r="E25" t="s">
        <v>75</v>
      </c>
      <c r="F25">
        <f t="shared" si="1"/>
        <v>6077.9432704775245</v>
      </c>
      <c r="G25">
        <f t="shared" si="2"/>
        <v>3.8613131021897709</v>
      </c>
    </row>
    <row r="26" spans="1:7" x14ac:dyDescent="0.25">
      <c r="A26" t="s">
        <v>28</v>
      </c>
      <c r="B26">
        <v>5959.75</v>
      </c>
      <c r="C26" t="str">
        <f t="shared" si="0"/>
        <v>A2</v>
      </c>
      <c r="D26" t="s">
        <v>75</v>
      </c>
      <c r="E26" t="s">
        <v>75</v>
      </c>
      <c r="F26">
        <f t="shared" si="1"/>
        <v>6077.9432704775245</v>
      </c>
      <c r="G26">
        <f t="shared" si="2"/>
        <v>1.9831917526326521</v>
      </c>
    </row>
    <row r="27" spans="1:7" x14ac:dyDescent="0.25">
      <c r="A27" t="s">
        <v>29</v>
      </c>
      <c r="B27">
        <v>6178.78</v>
      </c>
      <c r="C27" t="str">
        <f t="shared" si="0"/>
        <v>A2</v>
      </c>
      <c r="D27" t="s">
        <v>75</v>
      </c>
      <c r="E27" t="s">
        <v>75</v>
      </c>
      <c r="F27">
        <f t="shared" si="1"/>
        <v>6077.9432704775245</v>
      </c>
      <c r="G27">
        <f t="shared" si="2"/>
        <v>1.6319844616975399</v>
      </c>
    </row>
    <row r="28" spans="1:7" x14ac:dyDescent="0.25">
      <c r="A28" t="s">
        <v>30</v>
      </c>
      <c r="B28">
        <v>5786.04</v>
      </c>
      <c r="C28" t="str">
        <f t="shared" si="0"/>
        <v>A2</v>
      </c>
      <c r="D28" t="s">
        <v>75</v>
      </c>
      <c r="E28" t="s">
        <v>75</v>
      </c>
      <c r="F28">
        <f t="shared" si="1"/>
        <v>6077.9432704775245</v>
      </c>
      <c r="G28">
        <f t="shared" si="2"/>
        <v>5.0449576995237599</v>
      </c>
    </row>
    <row r="29" spans="1:7" x14ac:dyDescent="0.25">
      <c r="A29" t="s">
        <v>31</v>
      </c>
      <c r="B29">
        <v>5493.5</v>
      </c>
      <c r="C29" t="str">
        <f t="shared" si="0"/>
        <v>A1</v>
      </c>
      <c r="D29" t="s">
        <v>75</v>
      </c>
      <c r="E29" t="s">
        <v>74</v>
      </c>
      <c r="F29">
        <f t="shared" si="1"/>
        <v>6077.9432704775245</v>
      </c>
      <c r="G29">
        <f t="shared" si="2"/>
        <v>10.638814425730853</v>
      </c>
    </row>
    <row r="30" spans="1:7" x14ac:dyDescent="0.25">
      <c r="A30" t="s">
        <v>32</v>
      </c>
      <c r="B30">
        <v>4889.68</v>
      </c>
      <c r="C30" t="str">
        <f t="shared" si="0"/>
        <v>A1</v>
      </c>
      <c r="D30" t="s">
        <v>75</v>
      </c>
      <c r="E30" t="s">
        <v>74</v>
      </c>
      <c r="F30">
        <f t="shared" si="1"/>
        <v>6077.9432704775245</v>
      </c>
      <c r="G30">
        <f t="shared" si="2"/>
        <v>24.301452661064204</v>
      </c>
    </row>
    <row r="31" spans="1:7" x14ac:dyDescent="0.25">
      <c r="A31" t="s">
        <v>33</v>
      </c>
      <c r="B31">
        <v>5162.17</v>
      </c>
      <c r="C31" t="str">
        <f t="shared" si="0"/>
        <v>A1</v>
      </c>
      <c r="D31" t="s">
        <v>74</v>
      </c>
      <c r="E31" t="s">
        <v>74</v>
      </c>
      <c r="F31">
        <f t="shared" si="1"/>
        <v>7003.2974528581435</v>
      </c>
      <c r="G31">
        <f t="shared" si="2"/>
        <v>35.66576561519949</v>
      </c>
    </row>
    <row r="32" spans="1:7" x14ac:dyDescent="0.25">
      <c r="A32" t="s">
        <v>34</v>
      </c>
      <c r="B32">
        <v>5550.18</v>
      </c>
      <c r="C32" t="str">
        <f t="shared" si="0"/>
        <v>A1</v>
      </c>
      <c r="D32" t="s">
        <v>74</v>
      </c>
      <c r="E32" t="s">
        <v>74</v>
      </c>
      <c r="F32">
        <f t="shared" si="1"/>
        <v>7003.2974528581435</v>
      </c>
      <c r="G32">
        <f t="shared" si="2"/>
        <v>26.181447319873286</v>
      </c>
    </row>
    <row r="33" spans="1:7" x14ac:dyDescent="0.25">
      <c r="A33" t="s">
        <v>35</v>
      </c>
      <c r="B33">
        <v>6150.3</v>
      </c>
      <c r="C33" t="str">
        <f t="shared" si="0"/>
        <v>A2</v>
      </c>
      <c r="D33" t="s">
        <v>74</v>
      </c>
      <c r="E33" t="s">
        <v>75</v>
      </c>
      <c r="F33">
        <f t="shared" si="1"/>
        <v>7003.2974528581435</v>
      </c>
      <c r="G33">
        <f t="shared" si="2"/>
        <v>13.869200735868873</v>
      </c>
    </row>
    <row r="34" spans="1:7" x14ac:dyDescent="0.25">
      <c r="A34" t="s">
        <v>36</v>
      </c>
      <c r="B34">
        <v>6447.8</v>
      </c>
      <c r="C34" t="str">
        <f t="shared" si="0"/>
        <v>A2</v>
      </c>
      <c r="D34" t="s">
        <v>74</v>
      </c>
      <c r="E34" t="s">
        <v>75</v>
      </c>
      <c r="F34">
        <f t="shared" si="1"/>
        <v>7003.2974528581435</v>
      </c>
      <c r="G34">
        <f t="shared" si="2"/>
        <v>8.6153021628794839</v>
      </c>
    </row>
    <row r="35" spans="1:7" x14ac:dyDescent="0.25">
      <c r="A35" t="s">
        <v>37</v>
      </c>
      <c r="B35">
        <v>6701.07</v>
      </c>
      <c r="C35" t="str">
        <f t="shared" si="0"/>
        <v>A3</v>
      </c>
      <c r="D35" t="s">
        <v>75</v>
      </c>
      <c r="E35" t="s">
        <v>76</v>
      </c>
      <c r="F35">
        <f t="shared" si="1"/>
        <v>6077.9432704775245</v>
      </c>
      <c r="G35">
        <f t="shared" si="2"/>
        <v>9.2989138976682124</v>
      </c>
    </row>
    <row r="36" spans="1:7" x14ac:dyDescent="0.25">
      <c r="A36" t="s">
        <v>38</v>
      </c>
      <c r="B36">
        <v>6639.12</v>
      </c>
      <c r="C36" t="str">
        <f t="shared" si="0"/>
        <v>A3</v>
      </c>
      <c r="D36" t="s">
        <v>75</v>
      </c>
      <c r="E36" t="s">
        <v>76</v>
      </c>
      <c r="F36">
        <f t="shared" si="1"/>
        <v>6077.9432704775245</v>
      </c>
      <c r="G36">
        <f t="shared" si="2"/>
        <v>8.4525769909637933</v>
      </c>
    </row>
    <row r="37" spans="1:7" x14ac:dyDescent="0.25">
      <c r="A37" t="s">
        <v>39</v>
      </c>
      <c r="B37">
        <v>6874.41</v>
      </c>
      <c r="C37" t="str">
        <f t="shared" si="0"/>
        <v>A3</v>
      </c>
      <c r="D37" t="s">
        <v>76</v>
      </c>
      <c r="E37" t="s">
        <v>76</v>
      </c>
      <c r="F37">
        <f t="shared" si="1"/>
        <v>6798.1028283426913</v>
      </c>
      <c r="G37">
        <f t="shared" si="2"/>
        <v>1.1100177565392313</v>
      </c>
    </row>
    <row r="38" spans="1:7" x14ac:dyDescent="0.25">
      <c r="A38" t="s">
        <v>40</v>
      </c>
      <c r="B38">
        <v>7607.31</v>
      </c>
      <c r="C38" t="str">
        <f t="shared" si="0"/>
        <v>A4</v>
      </c>
      <c r="D38" t="s">
        <v>76</v>
      </c>
      <c r="E38" t="s">
        <v>77</v>
      </c>
      <c r="F38">
        <f t="shared" si="1"/>
        <v>6798.1028283426913</v>
      </c>
      <c r="G38">
        <f t="shared" si="2"/>
        <v>10.637231447874598</v>
      </c>
    </row>
    <row r="39" spans="1:7" x14ac:dyDescent="0.25">
      <c r="A39" t="s">
        <v>41</v>
      </c>
      <c r="B39">
        <v>7921.82</v>
      </c>
      <c r="C39" t="str">
        <f t="shared" si="0"/>
        <v>A4</v>
      </c>
      <c r="D39" t="s">
        <v>76</v>
      </c>
      <c r="E39" t="s">
        <v>77</v>
      </c>
      <c r="F39">
        <f t="shared" si="1"/>
        <v>6798.1028283426913</v>
      </c>
      <c r="G39">
        <f t="shared" si="2"/>
        <v>14.185088422323513</v>
      </c>
    </row>
    <row r="40" spans="1:7" x14ac:dyDescent="0.25">
      <c r="A40" t="s">
        <v>42</v>
      </c>
      <c r="B40">
        <v>8101.57</v>
      </c>
      <c r="C40" t="str">
        <f t="shared" si="0"/>
        <v>A5</v>
      </c>
      <c r="D40" t="s">
        <v>77</v>
      </c>
      <c r="E40" t="s">
        <v>78</v>
      </c>
      <c r="F40">
        <f t="shared" si="1"/>
        <v>8256.4259330196546</v>
      </c>
      <c r="G40">
        <f t="shared" si="2"/>
        <v>1.9114311549447194</v>
      </c>
    </row>
    <row r="41" spans="1:7" x14ac:dyDescent="0.25">
      <c r="A41" t="s">
        <v>43</v>
      </c>
      <c r="B41">
        <v>9099.58</v>
      </c>
      <c r="C41" t="str">
        <f t="shared" si="0"/>
        <v>A6</v>
      </c>
      <c r="D41" t="s">
        <v>77</v>
      </c>
      <c r="E41" t="s">
        <v>79</v>
      </c>
      <c r="F41">
        <f t="shared" si="1"/>
        <v>8256.4259330196546</v>
      </c>
      <c r="G41">
        <f t="shared" si="2"/>
        <v>9.26585696241305</v>
      </c>
    </row>
    <row r="42" spans="1:7" x14ac:dyDescent="0.25">
      <c r="A42" t="s">
        <v>44</v>
      </c>
      <c r="B42">
        <v>8994.9699999999993</v>
      </c>
      <c r="C42" t="str">
        <f t="shared" si="0"/>
        <v>A6</v>
      </c>
      <c r="D42" t="s">
        <v>78</v>
      </c>
      <c r="E42" t="s">
        <v>79</v>
      </c>
      <c r="F42">
        <f t="shared" si="1"/>
        <v>9221.8996059719011</v>
      </c>
      <c r="G42">
        <f t="shared" si="2"/>
        <v>2.5228500592208958</v>
      </c>
    </row>
    <row r="43" spans="1:7" x14ac:dyDescent="0.25">
      <c r="A43" t="s">
        <v>45</v>
      </c>
      <c r="B43">
        <v>10031.36</v>
      </c>
      <c r="C43" t="str">
        <f t="shared" si="0"/>
        <v>A7</v>
      </c>
      <c r="D43" t="s">
        <v>79</v>
      </c>
      <c r="E43" t="s">
        <v>80</v>
      </c>
      <c r="F43">
        <f t="shared" si="1"/>
        <v>9219.150081626085</v>
      </c>
      <c r="G43">
        <f t="shared" si="2"/>
        <v>8.0967079077404822</v>
      </c>
    </row>
    <row r="44" spans="1:7" x14ac:dyDescent="0.25">
      <c r="A44" t="s">
        <v>46</v>
      </c>
      <c r="B44">
        <v>9869</v>
      </c>
      <c r="C44" t="str">
        <f t="shared" si="0"/>
        <v>A7</v>
      </c>
      <c r="D44" t="s">
        <v>79</v>
      </c>
      <c r="E44" t="s">
        <v>80</v>
      </c>
      <c r="F44">
        <f t="shared" si="1"/>
        <v>9219.150081626085</v>
      </c>
      <c r="G44">
        <f t="shared" si="2"/>
        <v>6.5847595336296987</v>
      </c>
    </row>
    <row r="45" spans="1:7" x14ac:dyDescent="0.25">
      <c r="A45" t="s">
        <v>47</v>
      </c>
      <c r="B45">
        <v>9334.07</v>
      </c>
      <c r="C45" t="str">
        <f t="shared" si="0"/>
        <v>A6</v>
      </c>
      <c r="D45" t="s">
        <v>80</v>
      </c>
      <c r="E45" t="s">
        <v>79</v>
      </c>
      <c r="F45">
        <f t="shared" si="1"/>
        <v>9559.6358461717409</v>
      </c>
      <c r="G45">
        <f t="shared" si="2"/>
        <v>2.4165861855732946</v>
      </c>
    </row>
    <row r="46" spans="1:7" x14ac:dyDescent="0.25">
      <c r="A46" t="s">
        <v>48</v>
      </c>
      <c r="B46">
        <v>9448.7999999999993</v>
      </c>
      <c r="C46" t="str">
        <f t="shared" si="0"/>
        <v>A6</v>
      </c>
      <c r="D46" t="s">
        <v>80</v>
      </c>
      <c r="E46" t="s">
        <v>79</v>
      </c>
      <c r="F46">
        <f t="shared" si="1"/>
        <v>9559.6358461717409</v>
      </c>
      <c r="G46">
        <f t="shared" si="2"/>
        <v>1.173015051347702</v>
      </c>
    </row>
    <row r="47" spans="1:7" x14ac:dyDescent="0.25">
      <c r="A47" t="s">
        <v>49</v>
      </c>
      <c r="B47">
        <v>9360.7800000000007</v>
      </c>
      <c r="C47" t="str">
        <f t="shared" si="0"/>
        <v>A6</v>
      </c>
      <c r="D47" t="s">
        <v>79</v>
      </c>
      <c r="E47" t="s">
        <v>79</v>
      </c>
      <c r="F47">
        <f t="shared" si="1"/>
        <v>9219.150081626085</v>
      </c>
      <c r="G47">
        <f t="shared" si="2"/>
        <v>1.5130140690617195</v>
      </c>
    </row>
    <row r="48" spans="1:7" x14ac:dyDescent="0.25">
      <c r="A48" t="s">
        <v>50</v>
      </c>
      <c r="B48">
        <v>9470.34</v>
      </c>
      <c r="C48" t="str">
        <f t="shared" si="0"/>
        <v>A6</v>
      </c>
      <c r="D48" t="s">
        <v>79</v>
      </c>
      <c r="E48" t="s">
        <v>79</v>
      </c>
      <c r="F48">
        <f t="shared" si="1"/>
        <v>9219.150081626085</v>
      </c>
      <c r="G48">
        <f t="shared" si="2"/>
        <v>2.6523854304482746</v>
      </c>
    </row>
    <row r="49" spans="1:7" x14ac:dyDescent="0.25">
      <c r="A49" t="s">
        <v>51</v>
      </c>
      <c r="B49">
        <v>9844.41</v>
      </c>
      <c r="C49" t="str">
        <f t="shared" si="0"/>
        <v>A7</v>
      </c>
      <c r="D49" t="s">
        <v>79</v>
      </c>
      <c r="E49" t="s">
        <v>80</v>
      </c>
      <c r="F49">
        <f t="shared" si="1"/>
        <v>9219.150081626085</v>
      </c>
      <c r="G49">
        <f t="shared" si="2"/>
        <v>6.3514209421785042</v>
      </c>
    </row>
    <row r="50" spans="1:7" x14ac:dyDescent="0.25">
      <c r="A50" t="s">
        <v>52</v>
      </c>
      <c r="B50">
        <v>9604</v>
      </c>
      <c r="C50" t="str">
        <f t="shared" si="0"/>
        <v>A6</v>
      </c>
      <c r="D50" t="s">
        <v>79</v>
      </c>
      <c r="E50" t="s">
        <v>79</v>
      </c>
      <c r="F50">
        <f t="shared" si="1"/>
        <v>9219.150081626085</v>
      </c>
      <c r="G50">
        <f t="shared" si="2"/>
        <v>4.0071836565380572</v>
      </c>
    </row>
    <row r="51" spans="1:7" x14ac:dyDescent="0.25">
      <c r="A51" t="s">
        <v>53</v>
      </c>
      <c r="B51">
        <v>9687.33</v>
      </c>
      <c r="C51" t="str">
        <f t="shared" si="0"/>
        <v>A7</v>
      </c>
      <c r="D51" t="s">
        <v>80</v>
      </c>
      <c r="E51" t="s">
        <v>80</v>
      </c>
      <c r="F51">
        <f t="shared" si="1"/>
        <v>9559.6358461717409</v>
      </c>
      <c r="G51">
        <f t="shared" si="2"/>
        <v>1.3181563323254086</v>
      </c>
    </row>
    <row r="52" spans="1:7" x14ac:dyDescent="0.25">
      <c r="A52" t="s">
        <v>54</v>
      </c>
      <c r="B52">
        <v>9888.14</v>
      </c>
      <c r="C52" t="str">
        <f t="shared" si="0"/>
        <v>A7</v>
      </c>
      <c r="D52" t="s">
        <v>79</v>
      </c>
      <c r="E52" t="s">
        <v>80</v>
      </c>
      <c r="F52">
        <f t="shared" si="1"/>
        <v>9219.150081626085</v>
      </c>
      <c r="G52">
        <f t="shared" si="2"/>
        <v>6.7655789498724168</v>
      </c>
    </row>
    <row r="53" spans="1:7" x14ac:dyDescent="0.25">
      <c r="A53" t="s">
        <v>55</v>
      </c>
      <c r="B53">
        <v>10124.75</v>
      </c>
      <c r="C53" t="str">
        <f t="shared" si="0"/>
        <v>A7</v>
      </c>
      <c r="D53" t="s">
        <v>80</v>
      </c>
      <c r="E53" t="s">
        <v>80</v>
      </c>
      <c r="F53">
        <f t="shared" si="1"/>
        <v>9559.6358461717409</v>
      </c>
      <c r="G53">
        <f t="shared" si="2"/>
        <v>5.5815121739130262</v>
      </c>
    </row>
    <row r="54" spans="1:7" x14ac:dyDescent="0.25">
      <c r="A54" t="s">
        <v>56</v>
      </c>
      <c r="B54">
        <v>10311.18</v>
      </c>
      <c r="C54" t="s">
        <v>80</v>
      </c>
      <c r="D54" t="s">
        <v>80</v>
      </c>
      <c r="E54" t="s">
        <v>80</v>
      </c>
      <c r="F54">
        <f t="shared" si="1"/>
        <v>9559.6358461717409</v>
      </c>
      <c r="G54">
        <f t="shared" si="2"/>
        <v>7.2886338307376981</v>
      </c>
    </row>
    <row r="55" spans="1:7" x14ac:dyDescent="0.25">
      <c r="A55" t="s">
        <v>57</v>
      </c>
      <c r="B55">
        <v>9581.83</v>
      </c>
      <c r="C55" t="str">
        <f t="shared" si="0"/>
        <v>A6</v>
      </c>
      <c r="D55" t="s">
        <v>80</v>
      </c>
      <c r="E55" t="s">
        <v>79</v>
      </c>
      <c r="F55">
        <f t="shared" si="1"/>
        <v>9559.6358461717409</v>
      </c>
      <c r="G55">
        <f t="shared" si="2"/>
        <v>0.23162750568794274</v>
      </c>
    </row>
    <row r="56" spans="1:7" x14ac:dyDescent="0.25">
      <c r="A56" t="s">
        <v>58</v>
      </c>
      <c r="B56">
        <v>9428.5300000000007</v>
      </c>
      <c r="C56" t="str">
        <f t="shared" si="0"/>
        <v>A6</v>
      </c>
      <c r="D56" t="s">
        <v>80</v>
      </c>
      <c r="E56" t="s">
        <v>79</v>
      </c>
      <c r="F56">
        <f t="shared" si="1"/>
        <v>9559.6358461717409</v>
      </c>
      <c r="G56">
        <f t="shared" si="2"/>
        <v>1.3905226601786307</v>
      </c>
    </row>
    <row r="57" spans="1:7" x14ac:dyDescent="0.25">
      <c r="A57" t="s">
        <v>59</v>
      </c>
      <c r="B57">
        <v>7957.07</v>
      </c>
      <c r="C57" t="str">
        <f t="shared" si="0"/>
        <v>A4</v>
      </c>
      <c r="D57" t="s">
        <v>79</v>
      </c>
      <c r="E57" t="s">
        <v>77</v>
      </c>
      <c r="F57">
        <f t="shared" si="1"/>
        <v>9219.150081626085</v>
      </c>
      <c r="G57">
        <f t="shared" si="2"/>
        <v>15.861115732626271</v>
      </c>
    </row>
    <row r="58" spans="1:7" x14ac:dyDescent="0.25">
      <c r="A58" t="s">
        <v>60</v>
      </c>
      <c r="B58">
        <v>7780.24</v>
      </c>
      <c r="C58" t="str">
        <f t="shared" si="0"/>
        <v>A4</v>
      </c>
      <c r="D58" t="s">
        <v>79</v>
      </c>
      <c r="E58" t="s">
        <v>77</v>
      </c>
      <c r="F58">
        <f t="shared" si="1"/>
        <v>9219.150081626085</v>
      </c>
      <c r="G58">
        <f t="shared" si="2"/>
        <v>18.494417673826071</v>
      </c>
    </row>
    <row r="59" spans="1:7" x14ac:dyDescent="0.25">
      <c r="A59" t="s">
        <v>61</v>
      </c>
      <c r="B59">
        <v>7901.75</v>
      </c>
      <c r="C59" t="str">
        <f t="shared" si="0"/>
        <v>A4</v>
      </c>
      <c r="D59" t="s">
        <v>77</v>
      </c>
      <c r="E59" t="s">
        <v>77</v>
      </c>
      <c r="F59">
        <f t="shared" si="1"/>
        <v>8256.4259330196546</v>
      </c>
      <c r="G59">
        <f t="shared" si="2"/>
        <v>4.488574467929948</v>
      </c>
    </row>
    <row r="60" spans="1:7" x14ac:dyDescent="0.25">
      <c r="A60" t="s">
        <v>62</v>
      </c>
      <c r="B60">
        <v>7608.77</v>
      </c>
      <c r="C60" t="str">
        <f>VLOOKUP(B60,$L$7:$M$14,2,TRUE)</f>
        <v>A4</v>
      </c>
      <c r="D60" t="s">
        <v>77</v>
      </c>
      <c r="E60" t="s">
        <v>77</v>
      </c>
      <c r="F60">
        <f t="shared" si="1"/>
        <v>8256.4259330196546</v>
      </c>
      <c r="G60">
        <f>ABS((F60-B60)/B60)*100</f>
        <v>8.5119662313311384</v>
      </c>
    </row>
    <row r="61" spans="1:7" x14ac:dyDescent="0.25">
      <c r="D61" t="s">
        <v>77</v>
      </c>
      <c r="F61">
        <f t="shared" si="1"/>
        <v>8256.4259330196546</v>
      </c>
      <c r="G61">
        <f>AVERAGE(G4:G60)</f>
        <v>6.5399253910034654</v>
      </c>
    </row>
    <row r="62" spans="1:7" x14ac:dyDescent="0.25">
      <c r="D62" t="s">
        <v>77</v>
      </c>
      <c r="F62">
        <f t="shared" si="1"/>
        <v>8256.4259330196546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E62C6-F148-49F3-8BD9-AE06DE95A617}">
  <dimension ref="A1:N61"/>
  <sheetViews>
    <sheetView workbookViewId="0">
      <selection activeCell="N9" sqref="N9"/>
    </sheetView>
  </sheetViews>
  <sheetFormatPr defaultRowHeight="15" x14ac:dyDescent="0.25"/>
  <sheetData>
    <row r="1" spans="1:14" x14ac:dyDescent="0.25">
      <c r="A1" t="s">
        <v>0</v>
      </c>
      <c r="B1" t="s">
        <v>1</v>
      </c>
    </row>
    <row r="2" spans="1:14" x14ac:dyDescent="0.25">
      <c r="A2" t="s">
        <v>4</v>
      </c>
      <c r="B2">
        <v>6741.5</v>
      </c>
      <c r="C2" t="s">
        <v>76</v>
      </c>
      <c r="E2" t="s">
        <v>76</v>
      </c>
      <c r="J2" t="s">
        <v>63</v>
      </c>
      <c r="K2" s="1">
        <f>MAX(B2:B60)</f>
        <v>10311.18</v>
      </c>
    </row>
    <row r="3" spans="1:14" x14ac:dyDescent="0.25">
      <c r="A3" t="s">
        <v>5</v>
      </c>
      <c r="B3">
        <v>7095.83</v>
      </c>
      <c r="C3" t="s">
        <v>76</v>
      </c>
      <c r="D3" t="s">
        <v>76</v>
      </c>
      <c r="E3" t="s">
        <v>76</v>
      </c>
      <c r="J3" t="s">
        <v>64</v>
      </c>
      <c r="K3" s="1">
        <f>MIN(B2:B60)</f>
        <v>4889.68</v>
      </c>
    </row>
    <row r="4" spans="1:14" x14ac:dyDescent="0.25">
      <c r="A4" t="s">
        <v>6</v>
      </c>
      <c r="B4">
        <v>7004.4</v>
      </c>
      <c r="C4" t="s">
        <v>76</v>
      </c>
      <c r="D4" t="s">
        <v>76</v>
      </c>
      <c r="E4" t="s">
        <v>76</v>
      </c>
      <c r="J4" t="s">
        <v>65</v>
      </c>
      <c r="K4">
        <f>1+3.3*(LOG(59))</f>
        <v>6.8438116384190755</v>
      </c>
      <c r="L4">
        <f>(K2-K3)/L5</f>
        <v>26.839108910891088</v>
      </c>
    </row>
    <row r="5" spans="1:14" x14ac:dyDescent="0.25">
      <c r="A5" t="s">
        <v>7</v>
      </c>
      <c r="B5">
        <v>6932.35</v>
      </c>
      <c r="C5" t="s">
        <v>76</v>
      </c>
      <c r="D5" t="s">
        <v>76</v>
      </c>
      <c r="E5" t="s">
        <v>76</v>
      </c>
      <c r="J5" t="s">
        <v>66</v>
      </c>
      <c r="K5">
        <f>(K2-K3)/K4</f>
        <v>792.17551365168345</v>
      </c>
      <c r="L5">
        <v>202</v>
      </c>
    </row>
    <row r="6" spans="1:14" x14ac:dyDescent="0.25">
      <c r="A6" t="s">
        <v>8</v>
      </c>
      <c r="B6">
        <v>6751.79</v>
      </c>
      <c r="C6" t="s">
        <v>76</v>
      </c>
      <c r="D6" t="s">
        <v>76</v>
      </c>
      <c r="E6" t="s">
        <v>76</v>
      </c>
    </row>
    <row r="7" spans="1:14" x14ac:dyDescent="0.25">
      <c r="A7" t="s">
        <v>9</v>
      </c>
      <c r="B7">
        <v>6837.1</v>
      </c>
      <c r="C7" t="s">
        <v>76</v>
      </c>
      <c r="D7" t="s">
        <v>76</v>
      </c>
      <c r="E7" t="s">
        <v>76</v>
      </c>
      <c r="L7" s="1">
        <f>K3</f>
        <v>4889.68</v>
      </c>
      <c r="M7" t="s">
        <v>74</v>
      </c>
      <c r="N7">
        <f>(3*L7+L8)/4</f>
        <v>5087.7238784129213</v>
      </c>
    </row>
    <row r="8" spans="1:14" x14ac:dyDescent="0.25">
      <c r="A8" t="s">
        <v>10</v>
      </c>
      <c r="B8">
        <v>6996.69</v>
      </c>
      <c r="C8" t="s">
        <v>76</v>
      </c>
      <c r="D8" t="s">
        <v>76</v>
      </c>
      <c r="E8" t="s">
        <v>76</v>
      </c>
      <c r="J8" t="s">
        <v>67</v>
      </c>
      <c r="K8" s="1">
        <f>K3</f>
        <v>4889.68</v>
      </c>
      <c r="L8" s="1">
        <f>K8+$K$5</f>
        <v>5681.8555136516834</v>
      </c>
      <c r="M8" t="s">
        <v>75</v>
      </c>
      <c r="N8">
        <f>(L7+12*L8+2*L9)/14</f>
        <v>6144.2863013162087</v>
      </c>
    </row>
    <row r="9" spans="1:14" x14ac:dyDescent="0.25">
      <c r="A9" t="s">
        <v>11</v>
      </c>
      <c r="B9">
        <v>6446.39</v>
      </c>
      <c r="C9" t="s">
        <v>75</v>
      </c>
      <c r="D9" t="s">
        <v>76</v>
      </c>
      <c r="E9" t="s">
        <v>75</v>
      </c>
      <c r="J9" t="s">
        <v>68</v>
      </c>
      <c r="K9" s="1">
        <f>L8</f>
        <v>5681.8555136516834</v>
      </c>
      <c r="L9" s="1">
        <f>K9+$K$5</f>
        <v>6474.0310273033665</v>
      </c>
      <c r="M9" t="s">
        <v>76</v>
      </c>
    </row>
    <row r="10" spans="1:14" x14ac:dyDescent="0.25">
      <c r="A10" t="s">
        <v>12</v>
      </c>
      <c r="B10">
        <v>6107.4</v>
      </c>
      <c r="C10" t="s">
        <v>75</v>
      </c>
      <c r="D10" t="s">
        <v>75</v>
      </c>
      <c r="E10" t="s">
        <v>75</v>
      </c>
      <c r="J10" t="s">
        <v>69</v>
      </c>
      <c r="K10" s="1">
        <f t="shared" ref="K10:K14" si="0">L9</f>
        <v>6474.0310273033665</v>
      </c>
      <c r="L10" s="1">
        <f t="shared" ref="L10:L13" si="1">K10+$K$5</f>
        <v>7266.2065409550496</v>
      </c>
      <c r="M10" t="s">
        <v>77</v>
      </c>
    </row>
    <row r="11" spans="1:14" x14ac:dyDescent="0.25">
      <c r="A11" t="s">
        <v>13</v>
      </c>
      <c r="B11">
        <v>5956.98</v>
      </c>
      <c r="C11" t="s">
        <v>75</v>
      </c>
      <c r="D11" t="s">
        <v>75</v>
      </c>
      <c r="E11" t="s">
        <v>75</v>
      </c>
      <c r="J11" t="s">
        <v>70</v>
      </c>
      <c r="K11" s="1">
        <f t="shared" si="0"/>
        <v>7266.2065409550496</v>
      </c>
      <c r="L11" s="1">
        <f t="shared" si="1"/>
        <v>8058.3820546067327</v>
      </c>
      <c r="M11" t="s">
        <v>78</v>
      </c>
    </row>
    <row r="12" spans="1:14" x14ac:dyDescent="0.25">
      <c r="A12" t="s">
        <v>14</v>
      </c>
      <c r="B12">
        <v>6226.2</v>
      </c>
      <c r="C12" t="s">
        <v>75</v>
      </c>
      <c r="D12" t="s">
        <v>75</v>
      </c>
      <c r="E12" t="s">
        <v>75</v>
      </c>
      <c r="J12" t="s">
        <v>71</v>
      </c>
      <c r="K12" s="1">
        <f t="shared" si="0"/>
        <v>8058.3820546067327</v>
      </c>
      <c r="L12" s="1">
        <f t="shared" si="1"/>
        <v>8850.5575682584167</v>
      </c>
      <c r="M12" t="s">
        <v>79</v>
      </c>
    </row>
    <row r="13" spans="1:14" x14ac:dyDescent="0.25">
      <c r="A13" t="s">
        <v>15</v>
      </c>
      <c r="B13">
        <v>6174.14</v>
      </c>
      <c r="C13" t="s">
        <v>75</v>
      </c>
      <c r="D13" t="s">
        <v>75</v>
      </c>
      <c r="E13" t="s">
        <v>75</v>
      </c>
      <c r="J13" t="s">
        <v>72</v>
      </c>
      <c r="K13" s="1">
        <f t="shared" si="0"/>
        <v>8850.5575682584167</v>
      </c>
      <c r="L13" s="1">
        <f t="shared" si="1"/>
        <v>9642.7330819101007</v>
      </c>
      <c r="M13" t="s">
        <v>80</v>
      </c>
    </row>
    <row r="14" spans="1:14" x14ac:dyDescent="0.25">
      <c r="A14" t="s">
        <v>16</v>
      </c>
      <c r="B14">
        <v>6180.77</v>
      </c>
      <c r="C14" t="s">
        <v>75</v>
      </c>
      <c r="D14" t="s">
        <v>75</v>
      </c>
      <c r="E14" t="s">
        <v>75</v>
      </c>
      <c r="J14" t="s">
        <v>73</v>
      </c>
      <c r="K14" s="1">
        <f t="shared" si="0"/>
        <v>9642.7330819101007</v>
      </c>
      <c r="L14" s="1">
        <f>K2</f>
        <v>10311.18</v>
      </c>
    </row>
    <row r="15" spans="1:14" x14ac:dyDescent="0.25">
      <c r="A15" t="s">
        <v>17</v>
      </c>
      <c r="B15">
        <v>5926.24</v>
      </c>
      <c r="C15" t="s">
        <v>75</v>
      </c>
      <c r="D15" t="s">
        <v>75</v>
      </c>
      <c r="E15" t="s">
        <v>75</v>
      </c>
    </row>
    <row r="16" spans="1:14" x14ac:dyDescent="0.25">
      <c r="A16" t="s">
        <v>18</v>
      </c>
      <c r="B16">
        <v>6093.59</v>
      </c>
      <c r="C16" t="s">
        <v>75</v>
      </c>
      <c r="D16" t="s">
        <v>75</v>
      </c>
      <c r="E16" t="s">
        <v>75</v>
      </c>
    </row>
    <row r="17" spans="1:5" x14ac:dyDescent="0.25">
      <c r="A17" t="s">
        <v>19</v>
      </c>
      <c r="B17">
        <v>6475.48</v>
      </c>
      <c r="C17" t="s">
        <v>76</v>
      </c>
      <c r="D17" t="s">
        <v>75</v>
      </c>
      <c r="E17" t="s">
        <v>76</v>
      </c>
    </row>
    <row r="18" spans="1:5" x14ac:dyDescent="0.25">
      <c r="A18" t="s">
        <v>20</v>
      </c>
      <c r="B18">
        <v>6442.16</v>
      </c>
      <c r="C18" t="s">
        <v>75</v>
      </c>
      <c r="D18" t="s">
        <v>76</v>
      </c>
      <c r="E18" t="s">
        <v>75</v>
      </c>
    </row>
    <row r="19" spans="1:5" x14ac:dyDescent="0.25">
      <c r="A19" t="s">
        <v>21</v>
      </c>
      <c r="B19">
        <v>6218.67</v>
      </c>
      <c r="C19" t="s">
        <v>75</v>
      </c>
      <c r="D19" t="s">
        <v>75</v>
      </c>
      <c r="E19" t="s">
        <v>75</v>
      </c>
    </row>
    <row r="20" spans="1:5" x14ac:dyDescent="0.25">
      <c r="A20" t="s">
        <v>22</v>
      </c>
      <c r="B20">
        <v>5852</v>
      </c>
      <c r="C20" t="s">
        <v>75</v>
      </c>
      <c r="D20" t="s">
        <v>75</v>
      </c>
      <c r="E20" t="s">
        <v>75</v>
      </c>
    </row>
    <row r="21" spans="1:5" x14ac:dyDescent="0.25">
      <c r="A21" t="s">
        <v>23</v>
      </c>
      <c r="B21">
        <v>5937.45</v>
      </c>
      <c r="C21" t="s">
        <v>75</v>
      </c>
      <c r="D21" t="s">
        <v>75</v>
      </c>
      <c r="E21" t="s">
        <v>75</v>
      </c>
    </row>
    <row r="22" spans="1:5" x14ac:dyDescent="0.25">
      <c r="A22" t="s">
        <v>24</v>
      </c>
      <c r="B22">
        <v>5816.4</v>
      </c>
      <c r="C22" t="s">
        <v>75</v>
      </c>
      <c r="D22" t="s">
        <v>75</v>
      </c>
      <c r="E22" t="s">
        <v>75</v>
      </c>
    </row>
    <row r="23" spans="1:5" x14ac:dyDescent="0.25">
      <c r="A23" t="s">
        <v>25</v>
      </c>
      <c r="B23">
        <v>5725.3</v>
      </c>
      <c r="C23" t="s">
        <v>75</v>
      </c>
      <c r="D23" t="s">
        <v>75</v>
      </c>
      <c r="E23" t="s">
        <v>75</v>
      </c>
    </row>
    <row r="24" spans="1:5" x14ac:dyDescent="0.25">
      <c r="A24" t="s">
        <v>26</v>
      </c>
      <c r="B24">
        <v>5697.05</v>
      </c>
      <c r="C24" t="s">
        <v>75</v>
      </c>
      <c r="D24" t="s">
        <v>75</v>
      </c>
      <c r="E24" t="s">
        <v>75</v>
      </c>
    </row>
    <row r="25" spans="1:5" x14ac:dyDescent="0.25">
      <c r="A25" t="s">
        <v>27</v>
      </c>
      <c r="B25">
        <v>5851.98</v>
      </c>
      <c r="C25" t="s">
        <v>75</v>
      </c>
      <c r="D25" t="s">
        <v>75</v>
      </c>
      <c r="E25" t="s">
        <v>75</v>
      </c>
    </row>
    <row r="26" spans="1:5" x14ac:dyDescent="0.25">
      <c r="A26" t="s">
        <v>28</v>
      </c>
      <c r="B26">
        <v>5959.75</v>
      </c>
      <c r="C26" t="s">
        <v>75</v>
      </c>
      <c r="D26" t="s">
        <v>75</v>
      </c>
      <c r="E26" t="s">
        <v>75</v>
      </c>
    </row>
    <row r="27" spans="1:5" x14ac:dyDescent="0.25">
      <c r="A27" t="s">
        <v>29</v>
      </c>
      <c r="B27">
        <v>6178.78</v>
      </c>
      <c r="C27" t="s">
        <v>75</v>
      </c>
      <c r="D27" t="s">
        <v>75</v>
      </c>
      <c r="E27" t="s">
        <v>75</v>
      </c>
    </row>
    <row r="28" spans="1:5" x14ac:dyDescent="0.25">
      <c r="A28" t="s">
        <v>30</v>
      </c>
      <c r="B28">
        <v>5786.04</v>
      </c>
      <c r="C28" t="s">
        <v>75</v>
      </c>
      <c r="D28" t="s">
        <v>75</v>
      </c>
      <c r="E28" t="s">
        <v>75</v>
      </c>
    </row>
    <row r="29" spans="1:5" x14ac:dyDescent="0.25">
      <c r="A29" t="s">
        <v>31</v>
      </c>
      <c r="B29">
        <v>5493.5</v>
      </c>
      <c r="C29" t="s">
        <v>74</v>
      </c>
      <c r="D29" t="s">
        <v>75</v>
      </c>
      <c r="E29" t="s">
        <v>74</v>
      </c>
    </row>
    <row r="30" spans="1:5" x14ac:dyDescent="0.25">
      <c r="A30" t="s">
        <v>32</v>
      </c>
      <c r="B30">
        <v>4889.68</v>
      </c>
      <c r="C30" t="s">
        <v>74</v>
      </c>
      <c r="D30" t="s">
        <v>74</v>
      </c>
      <c r="E30" t="s">
        <v>74</v>
      </c>
    </row>
    <row r="31" spans="1:5" x14ac:dyDescent="0.25">
      <c r="A31" t="s">
        <v>33</v>
      </c>
      <c r="B31">
        <v>5162.17</v>
      </c>
      <c r="C31" t="s">
        <v>74</v>
      </c>
      <c r="D31" t="s">
        <v>74</v>
      </c>
      <c r="E31" t="s">
        <v>74</v>
      </c>
    </row>
    <row r="32" spans="1:5" x14ac:dyDescent="0.25">
      <c r="A32" t="s">
        <v>34</v>
      </c>
      <c r="B32">
        <v>5550.18</v>
      </c>
      <c r="C32" t="s">
        <v>74</v>
      </c>
      <c r="D32" t="s">
        <v>74</v>
      </c>
      <c r="E32" t="s">
        <v>74</v>
      </c>
    </row>
    <row r="33" spans="1:5" x14ac:dyDescent="0.25">
      <c r="A33" t="s">
        <v>35</v>
      </c>
      <c r="B33">
        <v>6150.3</v>
      </c>
      <c r="C33" t="s">
        <v>75</v>
      </c>
      <c r="D33" t="s">
        <v>74</v>
      </c>
      <c r="E33" t="s">
        <v>75</v>
      </c>
    </row>
    <row r="34" spans="1:5" x14ac:dyDescent="0.25">
      <c r="A34" t="s">
        <v>36</v>
      </c>
      <c r="B34">
        <v>6447.8</v>
      </c>
      <c r="C34" t="s">
        <v>75</v>
      </c>
      <c r="D34" t="s">
        <v>75</v>
      </c>
      <c r="E34" t="s">
        <v>75</v>
      </c>
    </row>
    <row r="35" spans="1:5" x14ac:dyDescent="0.25">
      <c r="A35" t="s">
        <v>37</v>
      </c>
      <c r="B35">
        <v>6701.07</v>
      </c>
      <c r="C35" t="s">
        <v>76</v>
      </c>
      <c r="D35" t="s">
        <v>75</v>
      </c>
      <c r="E35" t="s">
        <v>76</v>
      </c>
    </row>
    <row r="36" spans="1:5" x14ac:dyDescent="0.25">
      <c r="A36" t="s">
        <v>38</v>
      </c>
      <c r="B36">
        <v>6639.12</v>
      </c>
      <c r="C36" t="s">
        <v>76</v>
      </c>
      <c r="D36" t="s">
        <v>76</v>
      </c>
      <c r="E36" t="s">
        <v>76</v>
      </c>
    </row>
    <row r="37" spans="1:5" x14ac:dyDescent="0.25">
      <c r="A37" t="s">
        <v>39</v>
      </c>
      <c r="B37">
        <v>6874.41</v>
      </c>
      <c r="C37" t="s">
        <v>76</v>
      </c>
      <c r="D37" t="s">
        <v>76</v>
      </c>
      <c r="E37" t="s">
        <v>76</v>
      </c>
    </row>
    <row r="38" spans="1:5" x14ac:dyDescent="0.25">
      <c r="A38" t="s">
        <v>40</v>
      </c>
      <c r="B38">
        <v>7607.31</v>
      </c>
      <c r="C38" t="s">
        <v>77</v>
      </c>
      <c r="D38" t="s">
        <v>76</v>
      </c>
      <c r="E38" t="s">
        <v>77</v>
      </c>
    </row>
    <row r="39" spans="1:5" x14ac:dyDescent="0.25">
      <c r="A39" t="s">
        <v>41</v>
      </c>
      <c r="B39">
        <v>7921.82</v>
      </c>
      <c r="C39" t="s">
        <v>77</v>
      </c>
      <c r="D39" t="s">
        <v>77</v>
      </c>
      <c r="E39" t="s">
        <v>77</v>
      </c>
    </row>
    <row r="40" spans="1:5" x14ac:dyDescent="0.25">
      <c r="A40" t="s">
        <v>42</v>
      </c>
      <c r="B40">
        <v>8101.57</v>
      </c>
      <c r="C40" t="s">
        <v>78</v>
      </c>
      <c r="D40" t="s">
        <v>77</v>
      </c>
      <c r="E40" t="s">
        <v>78</v>
      </c>
    </row>
    <row r="41" spans="1:5" x14ac:dyDescent="0.25">
      <c r="A41" t="s">
        <v>43</v>
      </c>
      <c r="B41">
        <v>9099.58</v>
      </c>
      <c r="C41" t="s">
        <v>79</v>
      </c>
      <c r="D41" t="s">
        <v>78</v>
      </c>
      <c r="E41" t="s">
        <v>79</v>
      </c>
    </row>
    <row r="42" spans="1:5" x14ac:dyDescent="0.25">
      <c r="A42" t="s">
        <v>44</v>
      </c>
      <c r="B42">
        <v>8994.9699999999993</v>
      </c>
      <c r="C42" t="s">
        <v>79</v>
      </c>
      <c r="D42" t="s">
        <v>79</v>
      </c>
      <c r="E42" t="s">
        <v>79</v>
      </c>
    </row>
    <row r="43" spans="1:5" x14ac:dyDescent="0.25">
      <c r="A43" t="s">
        <v>45</v>
      </c>
      <c r="B43">
        <v>10031.36</v>
      </c>
      <c r="C43" t="s">
        <v>80</v>
      </c>
      <c r="D43" t="s">
        <v>79</v>
      </c>
      <c r="E43" t="s">
        <v>80</v>
      </c>
    </row>
    <row r="44" spans="1:5" x14ac:dyDescent="0.25">
      <c r="A44" t="s">
        <v>46</v>
      </c>
      <c r="B44">
        <v>9869</v>
      </c>
      <c r="C44" t="s">
        <v>80</v>
      </c>
      <c r="D44" t="s">
        <v>80</v>
      </c>
      <c r="E44" t="s">
        <v>80</v>
      </c>
    </row>
    <row r="45" spans="1:5" x14ac:dyDescent="0.25">
      <c r="A45" t="s">
        <v>47</v>
      </c>
      <c r="B45">
        <v>9334.07</v>
      </c>
      <c r="C45" t="s">
        <v>79</v>
      </c>
      <c r="D45" t="s">
        <v>80</v>
      </c>
      <c r="E45" t="s">
        <v>79</v>
      </c>
    </row>
    <row r="46" spans="1:5" x14ac:dyDescent="0.25">
      <c r="A46" t="s">
        <v>48</v>
      </c>
      <c r="B46">
        <v>9448.7999999999993</v>
      </c>
      <c r="C46" t="s">
        <v>79</v>
      </c>
      <c r="D46" t="s">
        <v>79</v>
      </c>
      <c r="E46" t="s">
        <v>79</v>
      </c>
    </row>
    <row r="47" spans="1:5" x14ac:dyDescent="0.25">
      <c r="A47" t="s">
        <v>49</v>
      </c>
      <c r="B47">
        <v>9360.7800000000007</v>
      </c>
      <c r="C47" t="s">
        <v>79</v>
      </c>
      <c r="D47" t="s">
        <v>79</v>
      </c>
      <c r="E47" t="s">
        <v>79</v>
      </c>
    </row>
    <row r="48" spans="1:5" x14ac:dyDescent="0.25">
      <c r="A48" t="s">
        <v>50</v>
      </c>
      <c r="B48">
        <v>9470.34</v>
      </c>
      <c r="C48" t="s">
        <v>79</v>
      </c>
      <c r="D48" t="s">
        <v>79</v>
      </c>
      <c r="E48" t="s">
        <v>79</v>
      </c>
    </row>
    <row r="49" spans="1:5" x14ac:dyDescent="0.25">
      <c r="A49" t="s">
        <v>51</v>
      </c>
      <c r="B49">
        <v>9844.41</v>
      </c>
      <c r="C49" t="s">
        <v>80</v>
      </c>
      <c r="D49" t="s">
        <v>79</v>
      </c>
      <c r="E49" t="s">
        <v>80</v>
      </c>
    </row>
    <row r="50" spans="1:5" x14ac:dyDescent="0.25">
      <c r="A50" t="s">
        <v>52</v>
      </c>
      <c r="B50">
        <v>9604</v>
      </c>
      <c r="C50" t="s">
        <v>79</v>
      </c>
      <c r="D50" t="s">
        <v>80</v>
      </c>
      <c r="E50" t="s">
        <v>79</v>
      </c>
    </row>
    <row r="51" spans="1:5" x14ac:dyDescent="0.25">
      <c r="A51" t="s">
        <v>53</v>
      </c>
      <c r="B51">
        <v>9687.33</v>
      </c>
      <c r="C51" t="s">
        <v>80</v>
      </c>
      <c r="D51" t="s">
        <v>79</v>
      </c>
      <c r="E51" t="s">
        <v>80</v>
      </c>
    </row>
    <row r="52" spans="1:5" x14ac:dyDescent="0.25">
      <c r="A52" t="s">
        <v>54</v>
      </c>
      <c r="B52">
        <v>9888.14</v>
      </c>
      <c r="C52" t="s">
        <v>80</v>
      </c>
      <c r="D52" t="s">
        <v>80</v>
      </c>
      <c r="E52" t="s">
        <v>80</v>
      </c>
    </row>
    <row r="53" spans="1:5" x14ac:dyDescent="0.25">
      <c r="A53" t="s">
        <v>55</v>
      </c>
      <c r="B53">
        <v>10124.75</v>
      </c>
      <c r="C53" t="s">
        <v>80</v>
      </c>
      <c r="D53" t="s">
        <v>80</v>
      </c>
      <c r="E53" t="s">
        <v>80</v>
      </c>
    </row>
    <row r="54" spans="1:5" x14ac:dyDescent="0.25">
      <c r="A54" t="s">
        <v>56</v>
      </c>
      <c r="B54">
        <v>10311.18</v>
      </c>
      <c r="C54" t="s">
        <v>80</v>
      </c>
      <c r="D54" t="s">
        <v>80</v>
      </c>
      <c r="E54" t="s">
        <v>80</v>
      </c>
    </row>
    <row r="55" spans="1:5" x14ac:dyDescent="0.25">
      <c r="A55" t="s">
        <v>57</v>
      </c>
      <c r="B55">
        <v>9581.83</v>
      </c>
      <c r="C55" t="s">
        <v>79</v>
      </c>
      <c r="D55" t="s">
        <v>80</v>
      </c>
      <c r="E55" t="s">
        <v>79</v>
      </c>
    </row>
    <row r="56" spans="1:5" x14ac:dyDescent="0.25">
      <c r="A56" t="s">
        <v>58</v>
      </c>
      <c r="B56">
        <v>9428.5300000000007</v>
      </c>
      <c r="C56" t="s">
        <v>79</v>
      </c>
      <c r="D56" t="s">
        <v>79</v>
      </c>
      <c r="E56" t="s">
        <v>79</v>
      </c>
    </row>
    <row r="57" spans="1:5" x14ac:dyDescent="0.25">
      <c r="A57" t="s">
        <v>59</v>
      </c>
      <c r="B57">
        <v>7957.07</v>
      </c>
      <c r="C57" t="s">
        <v>77</v>
      </c>
      <c r="D57" t="s">
        <v>79</v>
      </c>
      <c r="E57" t="s">
        <v>77</v>
      </c>
    </row>
    <row r="58" spans="1:5" x14ac:dyDescent="0.25">
      <c r="A58" t="s">
        <v>60</v>
      </c>
      <c r="B58">
        <v>7780.24</v>
      </c>
      <c r="C58" t="s">
        <v>77</v>
      </c>
      <c r="D58" t="s">
        <v>77</v>
      </c>
      <c r="E58" t="s">
        <v>77</v>
      </c>
    </row>
    <row r="59" spans="1:5" x14ac:dyDescent="0.25">
      <c r="A59" t="s">
        <v>61</v>
      </c>
      <c r="B59">
        <v>7901.75</v>
      </c>
      <c r="C59" t="s">
        <v>77</v>
      </c>
      <c r="D59" t="s">
        <v>77</v>
      </c>
      <c r="E59" t="s">
        <v>77</v>
      </c>
    </row>
    <row r="60" spans="1:5" x14ac:dyDescent="0.25">
      <c r="A60" t="s">
        <v>62</v>
      </c>
      <c r="B60">
        <v>7608.77</v>
      </c>
      <c r="C60" t="s">
        <v>77</v>
      </c>
      <c r="D60" t="s">
        <v>77</v>
      </c>
      <c r="E60" t="s">
        <v>77</v>
      </c>
    </row>
    <row r="61" spans="1:5" x14ac:dyDescent="0.25">
      <c r="D61" t="s">
        <v>77</v>
      </c>
    </row>
  </sheetData>
  <autoFilter ref="A1:E61" xr:uid="{3F5E62C6-F148-49F3-8BD9-AE06DE95A617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FF7D6-B29D-4D56-8976-EB2FE8BA9A6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FTS Lee</vt:lpstr>
      <vt:lpstr>FTS Saxena</vt:lpstr>
      <vt:lpstr>Tembaga</vt:lpstr>
      <vt:lpstr>Emas</vt:lpstr>
      <vt:lpstr>Perak</vt:lpstr>
      <vt:lpstr>Sheet1</vt:lpstr>
      <vt:lpstr>Sheet3</vt:lpstr>
      <vt:lpstr>Sheet4</vt:lpstr>
      <vt:lpstr>Sheet5</vt:lpstr>
      <vt:lpstr>Sheet2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resnu maulana</cp:lastModifiedBy>
  <dcterms:created xsi:type="dcterms:W3CDTF">2011-08-01T14:22:18Z</dcterms:created>
  <dcterms:modified xsi:type="dcterms:W3CDTF">2024-02-05T02:20:24Z</dcterms:modified>
</cp:coreProperties>
</file>